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34" activeTab="17"/>
  </bookViews>
  <sheets>
    <sheet name="ESPAÑA" sheetId="1" r:id="rId1"/>
    <sheet name="Galicia" sheetId="2" r:id="rId2"/>
    <sheet name="PrincipadoAsturias" sheetId="3" r:id="rId3"/>
    <sheet name="Cantabria" sheetId="4" r:id="rId4"/>
    <sheet name="PaisVasco" sheetId="5" r:id="rId5"/>
    <sheet name="Navarra" sheetId="6" r:id="rId6"/>
    <sheet name="LaRioja" sheetId="7" r:id="rId7"/>
    <sheet name="Aragón" sheetId="8" r:id="rId8"/>
    <sheet name="Cataluña" sheetId="9" r:id="rId9"/>
    <sheet name="Baleares" sheetId="10" r:id="rId10"/>
    <sheet name="CastillaLeón" sheetId="11" r:id="rId11"/>
    <sheet name="Madrid" sheetId="12" r:id="rId12"/>
    <sheet name="CastillaLaMancha" sheetId="13" r:id="rId13"/>
    <sheet name="ComunidadValenciana" sheetId="14" r:id="rId14"/>
    <sheet name="RegióndeMurcia" sheetId="15" r:id="rId15"/>
    <sheet name="Extremadura" sheetId="16" r:id="rId16"/>
    <sheet name="Andalucia" sheetId="17" r:id="rId17"/>
    <sheet name="Canarias" sheetId="18" r:id="rId18"/>
  </sheets>
  <definedNames/>
  <calcPr fullCalcOnLoad="1"/>
</workbook>
</file>

<file path=xl/sharedStrings.xml><?xml version="1.0" encoding="utf-8"?>
<sst xmlns="http://schemas.openxmlformats.org/spreadsheetml/2006/main" count="5795" uniqueCount="288">
  <si>
    <t>MATRIZ DE LA VALORACIÓN ECONÓMICA DE LA CONTRIBUCIÓN DE LA POLINIZACIÓN POR INSECTOS PARA LA AGRICULTURA Y EL IMPACTO EN EL BIENESTAR EN ESPAÑA EN 2011</t>
  </si>
  <si>
    <t>Tabla 1 - Matriz de cultivos utilizados directamente para consumo humano según FAOSTAT (http://faostat.fao.org) y listados por los nombres comunes de los cultivos en inglés</t>
  </si>
  <si>
    <t>Tabla 2 – Impacto económico de la polinización por insectos en la producción agrícola utilizada directamente para la alimentación humana y listado por las principales categorías (en euros)</t>
  </si>
  <si>
    <t>Ratio de dependencia (se consideran sólo los cultivos para los que los polinizadores aumentan la producción de las partes de plantas que consumimos)</t>
  </si>
  <si>
    <t>DATOS DE 2011</t>
  </si>
  <si>
    <t>Nombre común español</t>
  </si>
  <si>
    <t>Nombre común cultivo</t>
  </si>
  <si>
    <t>Nombre científico</t>
  </si>
  <si>
    <t>Categoría de cultivo según la  FAO</t>
  </si>
  <si>
    <t>Dependencia de la polinización animal</t>
  </si>
  <si>
    <t>Min</t>
  </si>
  <si>
    <t>Max</t>
  </si>
  <si>
    <t>Media             (D)</t>
  </si>
  <si>
    <t>Precio al productor (€/tonelada)</t>
  </si>
  <si>
    <t>Producción (toneladas)</t>
  </si>
  <si>
    <t>Valor Total del Cultivo (VTC)</t>
  </si>
  <si>
    <t>Valor Económico de la Polinización por Insectos (VEPI)</t>
  </si>
  <si>
    <t xml:space="preserve">
Pérdida de excedente del consumidor (PEC) con una elasticidad igual a </t>
  </si>
  <si>
    <t>Valor medio por tonelada</t>
  </si>
  <si>
    <t>Ratio de Vulnerabilidad (RV)</t>
  </si>
  <si>
    <t>fuente: FAOstat (http://faostat.org)</t>
  </si>
  <si>
    <t>fuente: Klein et al. 2007</t>
  </si>
  <si>
    <t>fuente: MAGRAMA, Anuario Estadística 2012</t>
  </si>
  <si>
    <t>Precio * Producción</t>
  </si>
  <si>
    <r>
      <t>VTC*</t>
    </r>
    <r>
      <rPr>
        <b/>
        <sz val="12"/>
        <color indexed="18"/>
        <rFont val="Arial"/>
        <family val="2"/>
      </rPr>
      <t>D</t>
    </r>
  </si>
  <si>
    <t>€ / Tn</t>
  </si>
  <si>
    <t>VTC*D</t>
  </si>
  <si>
    <t>VEPI/VTC</t>
  </si>
  <si>
    <t>€ / Tonelada</t>
  </si>
  <si>
    <t>Toneladas</t>
  </si>
  <si>
    <t>En €</t>
  </si>
  <si>
    <t>Almendras</t>
  </si>
  <si>
    <t>Almonds, with shell</t>
  </si>
  <si>
    <t>Amygdalus communis</t>
  </si>
  <si>
    <t>Frutos secos</t>
  </si>
  <si>
    <t>Grande</t>
  </si>
  <si>
    <t>Cereales</t>
  </si>
  <si>
    <t>Manzanas</t>
  </si>
  <si>
    <t>Apples</t>
  </si>
  <si>
    <t>Malus domestica</t>
  </si>
  <si>
    <t>Frutas</t>
  </si>
  <si>
    <t>Albaricoques</t>
  </si>
  <si>
    <t>Apricots</t>
  </si>
  <si>
    <t>Prunus armeniaca</t>
  </si>
  <si>
    <t>Oleaginosas</t>
  </si>
  <si>
    <t>Alcachofas</t>
  </si>
  <si>
    <t>Artichokes</t>
  </si>
  <si>
    <t>Cynara scolymus</t>
  </si>
  <si>
    <t>Hortalizas</t>
  </si>
  <si>
    <t>Aumenta - producción de semillas</t>
  </si>
  <si>
    <t>Leguminosas</t>
  </si>
  <si>
    <t>Esparragos</t>
  </si>
  <si>
    <t>Asparagus</t>
  </si>
  <si>
    <t>Asparagus officinalis</t>
  </si>
  <si>
    <t>Raíces y tubérculos</t>
  </si>
  <si>
    <t>Aguacates</t>
  </si>
  <si>
    <t>Avocados</t>
  </si>
  <si>
    <t>Persea americana</t>
  </si>
  <si>
    <t>Especias</t>
  </si>
  <si>
    <t>Platanos</t>
  </si>
  <si>
    <t>Bananas</t>
  </si>
  <si>
    <t>Musa sapientum, M. cavendishii, M. nana, M. paradisiaca</t>
  </si>
  <si>
    <t>Aumenta - reproducción</t>
  </si>
  <si>
    <t>-</t>
  </si>
  <si>
    <t>Azucareras</t>
  </si>
  <si>
    <t>Cebada</t>
  </si>
  <si>
    <t>Barley</t>
  </si>
  <si>
    <t>Hordeum  disticum, H. hexasticum, H. vulgare</t>
  </si>
  <si>
    <t>No aumenta</t>
  </si>
  <si>
    <t>Judías secas</t>
  </si>
  <si>
    <t>Beans, dry</t>
  </si>
  <si>
    <t>Phaseolus P. lunatus, P. angularis, P. aureus,  P. mungo, P. coccineus, P. calcaratus, P. aconitifolius, P. acutifolius</t>
  </si>
  <si>
    <t>Pequeña</t>
  </si>
  <si>
    <t>Judias verdes</t>
  </si>
  <si>
    <t>Beans, green</t>
  </si>
  <si>
    <r>
      <t>Vigna spp., V. unguiculata, V. subterranean</t>
    </r>
    <r>
      <rPr>
        <sz val="12"/>
        <color indexed="16"/>
        <rFont val="Arial"/>
        <family val="2"/>
      </rPr>
      <t xml:space="preserve"> (syn.</t>
    </r>
    <r>
      <rPr>
        <i/>
        <sz val="12"/>
        <color indexed="16"/>
        <rFont val="Arial"/>
        <family val="2"/>
      </rPr>
      <t xml:space="preserve"> Voandzeia subterranea</t>
    </r>
    <r>
      <rPr>
        <sz val="12"/>
        <color indexed="16"/>
        <rFont val="Arial"/>
        <family val="2"/>
      </rPr>
      <t>),</t>
    </r>
    <r>
      <rPr>
        <i/>
        <sz val="12"/>
        <color indexed="16"/>
        <rFont val="Arial"/>
        <family val="2"/>
      </rPr>
      <t xml:space="preserve"> Phaseolus spp.</t>
    </r>
  </si>
  <si>
    <t>Habas secas</t>
  </si>
  <si>
    <t>Broad beans, horse beans, dry</t>
  </si>
  <si>
    <t>Vicia faba</t>
  </si>
  <si>
    <t>Moderada</t>
  </si>
  <si>
    <t>TOTAL</t>
  </si>
  <si>
    <t>Coles y otras crucíferas</t>
  </si>
  <si>
    <t>Cabbages and other brassicas</t>
  </si>
  <si>
    <t>Brassica chinensis, B. oleracea</t>
  </si>
  <si>
    <t>Zanahorias</t>
  </si>
  <si>
    <t>Carrots and turnips</t>
  </si>
  <si>
    <t>Daucus carota</t>
  </si>
  <si>
    <t>Coliflor y brécol</t>
  </si>
  <si>
    <t>Cauliflowers and broccoli</t>
  </si>
  <si>
    <t>Cerezas</t>
  </si>
  <si>
    <t>Cherries</t>
  </si>
  <si>
    <t xml:space="preserve"> Prunus avium, P. cerasus</t>
  </si>
  <si>
    <t>Castañas</t>
  </si>
  <si>
    <t>Chestnuts</t>
  </si>
  <si>
    <t>Castanea sativa</t>
  </si>
  <si>
    <t>Garbanzos</t>
  </si>
  <si>
    <t>Chick peas</t>
  </si>
  <si>
    <t>Cicer arietinum</t>
  </si>
  <si>
    <t>Pimiento para pimentón</t>
  </si>
  <si>
    <t>Chillies and peppers, dry</t>
  </si>
  <si>
    <t>Capscium annuum, C. frutescens</t>
  </si>
  <si>
    <t>Pimientos y guindillas</t>
  </si>
  <si>
    <t>Chillies and peppers, green</t>
  </si>
  <si>
    <t>Pepinos y pepinillos</t>
  </si>
  <si>
    <t>Cucumbers and gherkins</t>
  </si>
  <si>
    <t>Cucumis sativus</t>
  </si>
  <si>
    <t>Berenjenas</t>
  </si>
  <si>
    <t>Eggplants (aubergines)</t>
  </si>
  <si>
    <t>Solanum melongena</t>
  </si>
  <si>
    <t>Higos</t>
  </si>
  <si>
    <t>Figs</t>
  </si>
  <si>
    <t>Ficus carica</t>
  </si>
  <si>
    <t>Ajo</t>
  </si>
  <si>
    <t>Garlic</t>
  </si>
  <si>
    <r>
      <t xml:space="preserve">Allium sativum </t>
    </r>
    <r>
      <rPr>
        <sz val="12"/>
        <color indexed="16"/>
        <rFont val="Arial"/>
        <family val="2"/>
      </rPr>
      <t>(syn.</t>
    </r>
    <r>
      <rPr>
        <i/>
        <sz val="12"/>
        <color indexed="16"/>
        <rFont val="Arial"/>
        <family val="2"/>
      </rPr>
      <t xml:space="preserve"> Alliaria sativum)</t>
    </r>
  </si>
  <si>
    <t>Toronja y pomelo</t>
  </si>
  <si>
    <t>Grapefruit (inc. pomelos)</t>
  </si>
  <si>
    <t xml:space="preserve">Citrus grandis C. maxima, C. paradisi, </t>
  </si>
  <si>
    <t>Uvas</t>
  </si>
  <si>
    <t>Grapes</t>
  </si>
  <si>
    <t>Vitis vinifera</t>
  </si>
  <si>
    <t>Avellanas</t>
  </si>
  <si>
    <t>Hazelnuts, with shell</t>
  </si>
  <si>
    <t>Corylus avellana</t>
  </si>
  <si>
    <t>Lúpulo</t>
  </si>
  <si>
    <t>Hops</t>
  </si>
  <si>
    <t>Humulus lupulus</t>
  </si>
  <si>
    <t>Kiwis</t>
  </si>
  <si>
    <t>Kiwi fruit</t>
  </si>
  <si>
    <t>Actinidia deliciosa</t>
  </si>
  <si>
    <t>Esencial</t>
  </si>
  <si>
    <t>Limones y limas</t>
  </si>
  <si>
    <t>Lemons and limes</t>
  </si>
  <si>
    <t>Citrus aurantifolia, C. limetta, C. limon</t>
  </si>
  <si>
    <t>Lentejas</t>
  </si>
  <si>
    <t>Lentils</t>
  </si>
  <si>
    <t>Lens esculenta</t>
  </si>
  <si>
    <t>Lechuga y achicoria</t>
  </si>
  <si>
    <t>Lettuce and chicory</t>
  </si>
  <si>
    <t>Lactuca sativa, Cichorium intybus, C. endivia</t>
  </si>
  <si>
    <t>Altramuz</t>
  </si>
  <si>
    <t>Lupins</t>
  </si>
  <si>
    <r>
      <t>Lupinus</t>
    </r>
    <r>
      <rPr>
        <sz val="12"/>
        <color indexed="16"/>
        <rFont val="Arial"/>
        <family val="2"/>
      </rPr>
      <t xml:space="preserve"> spp.</t>
    </r>
  </si>
  <si>
    <t>Maíz</t>
  </si>
  <si>
    <t>Maize</t>
  </si>
  <si>
    <t>Zea mais</t>
  </si>
  <si>
    <t>Hongos y trufas</t>
  </si>
  <si>
    <t>Mushrooms and truffles</t>
  </si>
  <si>
    <r>
      <t>Boletus edulis, Agaricus campestris, Morchella</t>
    </r>
    <r>
      <rPr>
        <sz val="12"/>
        <color indexed="16"/>
        <rFont val="Arial"/>
        <family val="2"/>
      </rPr>
      <t xml:space="preserve"> spp., </t>
    </r>
    <r>
      <rPr>
        <i/>
        <sz val="12"/>
        <color indexed="16"/>
        <rFont val="Arial"/>
        <family val="2"/>
      </rPr>
      <t>Tuber magnatum</t>
    </r>
  </si>
  <si>
    <t>Avena</t>
  </si>
  <si>
    <t>Oats</t>
  </si>
  <si>
    <r>
      <t xml:space="preserve">Avena </t>
    </r>
    <r>
      <rPr>
        <sz val="12"/>
        <color indexed="16"/>
        <rFont val="Arial"/>
        <family val="2"/>
      </rPr>
      <t>spp., mainly</t>
    </r>
    <r>
      <rPr>
        <i/>
        <sz val="12"/>
        <color indexed="16"/>
        <rFont val="Arial"/>
        <family val="2"/>
      </rPr>
      <t xml:space="preserve">  Avena sativa</t>
    </r>
  </si>
  <si>
    <t>Aceitunas</t>
  </si>
  <si>
    <t>Olives</t>
  </si>
  <si>
    <t>Olea europea</t>
  </si>
  <si>
    <t>Cebolletas</t>
  </si>
  <si>
    <t>Onions (inc. shallots), green</t>
  </si>
  <si>
    <t>Allium cepa, A. ascalonicum, A. fistulosum</t>
  </si>
  <si>
    <t>Cebollas, secas</t>
  </si>
  <si>
    <t>Onions, dry</t>
  </si>
  <si>
    <t>Naranjas</t>
  </si>
  <si>
    <t>Oranges</t>
  </si>
  <si>
    <t>Citrus aurantium, C. sinensis</t>
  </si>
  <si>
    <t>Melones, otros (incl. Cantaloupe)</t>
  </si>
  <si>
    <t>Other melons (inc.cantaloupes)</t>
  </si>
  <si>
    <t>Cucumis melo</t>
  </si>
  <si>
    <t>Melocotones y nectarinas</t>
  </si>
  <si>
    <t>Peaches and nestarines</t>
  </si>
  <si>
    <t>Prunus persica,  Persica laevis</t>
  </si>
  <si>
    <t>Peras</t>
  </si>
  <si>
    <t>Pears</t>
  </si>
  <si>
    <t>Pyrus communis</t>
  </si>
  <si>
    <t>Guisantes, secos</t>
  </si>
  <si>
    <t>Peas, dry</t>
  </si>
  <si>
    <t>Pisum sativum, P. arvense</t>
  </si>
  <si>
    <t>Guisantes, verdes</t>
  </si>
  <si>
    <t>Peas, green</t>
  </si>
  <si>
    <t>Ciruelas y endrinas</t>
  </si>
  <si>
    <t>Plums and sloes</t>
  </si>
  <si>
    <t>Prunus domestica, P. spinosa</t>
  </si>
  <si>
    <t>Patatas</t>
  </si>
  <si>
    <t>Potatoes</t>
  </si>
  <si>
    <t>Solanum tuberosum</t>
  </si>
  <si>
    <t>Calabazas y calabacines</t>
  </si>
  <si>
    <t>Pumpkins, squash and gourds</t>
  </si>
  <si>
    <t>Cucurbita maxima, C. mixta, C. moschata, C. pepo</t>
  </si>
  <si>
    <t>Membrillos</t>
  </si>
  <si>
    <t>Quinces</t>
  </si>
  <si>
    <t>Cydonia oblonga, C. vulgaris, C. japonica</t>
  </si>
  <si>
    <t>Colza</t>
  </si>
  <si>
    <t>Rapeseed</t>
  </si>
  <si>
    <t>Brassica napus, B. alba, B. hirta, Sinapis alba, B. nigra</t>
  </si>
  <si>
    <t>Frambuesas</t>
  </si>
  <si>
    <t>Raspberries</t>
  </si>
  <si>
    <t>Rubus idaeus</t>
  </si>
  <si>
    <t>Arroz</t>
  </si>
  <si>
    <t>Rice, paddy</t>
  </si>
  <si>
    <r>
      <t>Oryza</t>
    </r>
    <r>
      <rPr>
        <sz val="12"/>
        <color indexed="16"/>
        <rFont val="Arial"/>
        <family val="2"/>
      </rPr>
      <t xml:space="preserve"> spp. (mainly </t>
    </r>
    <r>
      <rPr>
        <i/>
        <sz val="12"/>
        <color indexed="16"/>
        <rFont val="Arial"/>
        <family val="2"/>
      </rPr>
      <t>O. sativa</t>
    </r>
    <r>
      <rPr>
        <sz val="12"/>
        <color indexed="16"/>
        <rFont val="Arial"/>
        <family val="2"/>
      </rPr>
      <t>)</t>
    </r>
  </si>
  <si>
    <t>Centeno</t>
  </si>
  <si>
    <t>Rye</t>
  </si>
  <si>
    <t>Secale cereale</t>
  </si>
  <si>
    <t>Cártamo</t>
  </si>
  <si>
    <t>Safflower seed</t>
  </si>
  <si>
    <t>Carthamus tinctorius</t>
  </si>
  <si>
    <t>Algodón, semilla</t>
  </si>
  <si>
    <t>Seed cotton</t>
  </si>
  <si>
    <t>Gossypium hirsutum, G. barbadense, G. arboreum, G. herbaceum</t>
  </si>
  <si>
    <t>Sorgo</t>
  </si>
  <si>
    <t>Sorghum</t>
  </si>
  <si>
    <t>Sorghum guineense, S. vulgare, S. dura</t>
  </si>
  <si>
    <t>Soja</t>
  </si>
  <si>
    <t>Soybeans</t>
  </si>
  <si>
    <t>Glycine max, G. soja</t>
  </si>
  <si>
    <t>Espinacas</t>
  </si>
  <si>
    <t>Spinach</t>
  </si>
  <si>
    <t>Spinacia olearacea</t>
  </si>
  <si>
    <t>Fresas</t>
  </si>
  <si>
    <t>Strawberries</t>
  </si>
  <si>
    <r>
      <t>Fragaria</t>
    </r>
    <r>
      <rPr>
        <sz val="12"/>
        <color indexed="16"/>
        <rFont val="Arial"/>
        <family val="2"/>
      </rPr>
      <t xml:space="preserve"> spp.</t>
    </r>
  </si>
  <si>
    <t>Remolacha azucarera</t>
  </si>
  <si>
    <t>Sugar beet</t>
  </si>
  <si>
    <t>Beta vulgaris</t>
  </si>
  <si>
    <t>Girasol, semillas</t>
  </si>
  <si>
    <t>Sunflower seed</t>
  </si>
  <si>
    <t>Helianthus annuus</t>
  </si>
  <si>
    <t>Batatas, boniatos</t>
  </si>
  <si>
    <t>Sweet potatoes</t>
  </si>
  <si>
    <t>Ipomoea batatas</t>
  </si>
  <si>
    <t>Tangerinas, mandarinas, clementinas, satsumas</t>
  </si>
  <si>
    <t>Tangerines, mandarins, clem.</t>
  </si>
  <si>
    <t>Citrus reticulata, C. unshiu</t>
  </si>
  <si>
    <t>Tomates</t>
  </si>
  <si>
    <t>Tomatoes</t>
  </si>
  <si>
    <t>Lycopersicon esculentum</t>
  </si>
  <si>
    <t>Nueces</t>
  </si>
  <si>
    <t>Walnuts, with shell</t>
  </si>
  <si>
    <t>Juglans regia</t>
  </si>
  <si>
    <t>Sandías</t>
  </si>
  <si>
    <t>Watermelons</t>
  </si>
  <si>
    <t>Citrullus lanatus</t>
  </si>
  <si>
    <t>Trigo</t>
  </si>
  <si>
    <t>Wheat</t>
  </si>
  <si>
    <r>
      <t xml:space="preserve">Triticum </t>
    </r>
    <r>
      <rPr>
        <sz val="12"/>
        <color indexed="16"/>
        <rFont val="Arial"/>
        <family val="2"/>
      </rPr>
      <t>spp.</t>
    </r>
    <r>
      <rPr>
        <i/>
        <sz val="12"/>
        <color indexed="16"/>
        <rFont val="Arial"/>
        <family val="2"/>
      </rPr>
      <t xml:space="preserve"> </t>
    </r>
    <r>
      <rPr>
        <sz val="12"/>
        <color indexed="16"/>
        <rFont val="Arial"/>
        <family val="2"/>
      </rPr>
      <t>(mainly</t>
    </r>
    <r>
      <rPr>
        <i/>
        <sz val="12"/>
        <color indexed="16"/>
        <rFont val="Arial"/>
        <family val="2"/>
      </rPr>
      <t xml:space="preserve"> T. aestivum, T. durum, T. spelta)</t>
    </r>
  </si>
  <si>
    <t xml:space="preserve">TOTAL O MEDIA   </t>
  </si>
  <si>
    <t>MATRIZ DE LA VALORACIÓN ECONÓMICA DE LA CONTRIBUCIÓN DE LA POLINIZACIÓN POR INSECTOS PARA LA AGRICULTURA Y EL IMPACTO EN EL BIENESTAR EN GALICIA EN 2011</t>
  </si>
  <si>
    <t>Espárragos</t>
  </si>
  <si>
    <t>Cerezas y guindas</t>
  </si>
  <si>
    <t>Fresas y fresón</t>
  </si>
  <si>
    <t xml:space="preserve">TOTAL OR MEAN   </t>
  </si>
  <si>
    <t>MATRIZ DE LA VALORACIÓN ECONÓMICA DE LA CONTRIBUCIÓN DE LA POLINIZACIÓN POR INSECTOS PARA LA AGRICULTURA Y EL IMPACTO EN EL BIENESTAR EN EL PRINCIPADO DE ASTURIAS EN 2011</t>
  </si>
  <si>
    <t>Coliflor y brócoli</t>
  </si>
  <si>
    <t>Calabazas</t>
  </si>
  <si>
    <t>MATRIZ DE LA VALORACIÓN ECONÓMICA DE LA CONTRIBUCIÓN DE LA POLINIZACIÓN POR INSECTOS PARA LA AGRICULTURA Y EL IMPACTO EN EL BIENESTAR EN CANTABRIA EN 2011</t>
  </si>
  <si>
    <t>MATRIZ DE LA VALORACIÓN ECONÓMICA DE LA CONTRIBUCIÓN DE LA POLINIZACIÓN POR INSECTOS PARA LA AGRICULTURA Y EL IMPACTO EN EL BIENESTAR EN EL PAÍS VASCO EN 2011</t>
  </si>
  <si>
    <t>Habas</t>
  </si>
  <si>
    <t>Table 2 - Economic impact of insect pollination of the agricultural production used directly for human food and listed by the main categories</t>
  </si>
  <si>
    <t>Crop category following FAO</t>
  </si>
  <si>
    <t>Average value per metric ton</t>
  </si>
  <si>
    <t>Total value of crop (TVC)</t>
  </si>
  <si>
    <t>Economic value of insect pollinators (EVIP)</t>
  </si>
  <si>
    <t>Ratio of vulnerability (RV)</t>
  </si>
  <si>
    <t>Consumer surplus loss (CSL) with elasticity equal to</t>
  </si>
  <si>
    <t>Price * Production</t>
  </si>
  <si>
    <t>TVC*D</t>
  </si>
  <si>
    <t>EVIP/TVC</t>
  </si>
  <si>
    <t>US$ / metric ton</t>
  </si>
  <si>
    <t xml:space="preserve">US$ </t>
  </si>
  <si>
    <t>MATRIZ DE LA VALORACIÓN ECONÓMICA DE LA CONTRIBUCIÓN DE LA POLINIZACIÓN POR INSECTOS PARA LA AGRICULTURA Y EL IMPACTO EN EL BIENESTAR EN NAVARRA EN 2011</t>
  </si>
  <si>
    <t>MATRIZ DE LA VALORACIÓN ECONÓMICA DE LA CONTRIBUCIÓN DE LA POLINIZACIÓN POR INSECTOS PARA LA AGRICULTURA Y EL IMPACTO EN EL BIENESTAR EN LA RIOJA EN 2011</t>
  </si>
  <si>
    <t>Arándanos rojos</t>
  </si>
  <si>
    <t>Cranberries</t>
  </si>
  <si>
    <t>Vaccinium macrocarpon, V. oxycoccus</t>
  </si>
  <si>
    <t>MATRIZ DE LA VALORACIÓN ECONÓMICA DE LA CONTRIBUCIÓN DE LA POLINIZACIÓN POR INSECTOS PARA LA AGRICULTURA Y EL IMPACTO EN EL BIENESTAR EN ARAGÓN EN 2011</t>
  </si>
  <si>
    <t>MATRIZ DE LA VALORACIÓN ECONÓMICA DE LA CONTRIBUCIÓN DE LA POLINIZACIÓN POR INSECTOS PARA LA AGRICULTURA Y EL IMPACTO EN EL BIENESTAR EN CATALUÑA EN 2011</t>
  </si>
  <si>
    <t>MATRIZ DE LA VALORACIÓN ECONÓMICA DE LA CONTRIBUCIÓN DE LA POLINIZACIÓN POR INSECTOS PARA LA AGRICULTURA Y EL IMPACTO EN EL BIENESTAR EN LAS ISLAS BALEARES EN 2011</t>
  </si>
  <si>
    <t>Fruta fresca, nep</t>
  </si>
  <si>
    <t>Fruit Fresh Nes</t>
  </si>
  <si>
    <t>COMMODITY</t>
  </si>
  <si>
    <t>Mixed response</t>
  </si>
  <si>
    <t>MATRIZ DE LA VALORACIÓN ECONÓMICA DE LA CONTRIBUCIÓN DE LA POLINIZACIÓN POR INSECTOS PARA LA AGRICULTURA Y EL IMPACTO EN EL BIENESTAR EN CASTILLA Y LEÓN EN 2011</t>
  </si>
  <si>
    <t>MATRIZ DE LA VALORACIÓN ECONÓMICA DE LA CONTRIBUCIÓN DE LA POLINIZACIÓN POR INSECTOS PARA LA AGRICULTURA Y EL IMPACTO EN EL BIENESTAR EN MADRID EN 2011</t>
  </si>
  <si>
    <t>Coliflor y brocóli</t>
  </si>
  <si>
    <t>MATRIZ DE LA VALORACIÓN ECONÓMICA DE LA CONTRIBUCIÓN DE LA POLINIZACIÓN POR INSECTOS PARA LA AGRICULTURA Y EL IMPACTO EN EL BIENESTAR EN CASTILLA LA MANCHA EN 2011</t>
  </si>
  <si>
    <t>MATRIZ DE LA VALORACIÓN ECONÓMICA DE LA CONTRIBUCIÓN DE LA POLINIZACIÓN POR INSECTOS PARA LA AGRICULTURA Y EL IMPACTO EN EL BIENESTAR EN LA COMUNIDAD VALENCIANA EN 2011</t>
  </si>
  <si>
    <t>MATRIZ DE LA VALORACIÓN ECONÓMICA DE LA CONTRIBUCIÓN DE LA POLINIZACIÓN POR INSECTOS PARA LA AGRICULTURA Y EL IMPACTO EN EL BIENESTAR EN LA REGIÓN DE MURCIA EN 2011</t>
  </si>
  <si>
    <t>MATRIZ DE LA VALORACIÓN ECONÓMICA DE LA CONTRIBUCIÓN DE LA POLINIZACIÓN POR INSECTOS PARA LA AGRICULTURA Y EL IMPACTO EN EL BIENESTAR EN EXTREMADURA EN 2011</t>
  </si>
  <si>
    <t>MATRIZ DE LA VALORACIÓN ECONÓMICA DE LA CONTRIBUCIÓN DE LA POLINIZACIÓN POR INSECTOS PARA LA AGRICULTURA Y EL IMPACTO EN EL BIENESTAR EN ANDALUCÍA EN 2011</t>
  </si>
  <si>
    <t>MATRIZ DE LA VALORACIÓN ECONÓMICA DE LA CONTRIBUCIÓN DE LA POLINIZACIÓN POR INSECTOS PARA LA AGRICULTURA Y EL IMPACTO EN EL BIENESTAR EN LAS ISLAS CANARIAS EN 2011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</si>
</sst>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#,##0"/>
    <numFmt numFmtId="168" formatCode="0"/>
    <numFmt numFmtId="169" formatCode="0%"/>
    <numFmt numFmtId="170" formatCode="0.0%"/>
    <numFmt numFmtId="171" formatCode="0.00"/>
  </numFmts>
  <fonts count="25">
    <font>
      <sz val="10"/>
      <name val="Verdana"/>
      <family val="2"/>
    </font>
    <font>
      <sz val="10"/>
      <name val="Arial"/>
      <family val="0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62"/>
      <name val="Arial"/>
      <family val="2"/>
    </font>
    <font>
      <sz val="12"/>
      <color indexed="17"/>
      <name val="Arial"/>
      <family val="2"/>
    </font>
    <font>
      <sz val="12"/>
      <color indexed="53"/>
      <name val="Arial"/>
      <family val="2"/>
    </font>
    <font>
      <sz val="12"/>
      <color indexed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2"/>
      <color indexed="62"/>
      <name val="Arial"/>
      <family val="2"/>
    </font>
    <font>
      <b/>
      <sz val="12"/>
      <color indexed="57"/>
      <name val="Arial"/>
      <family val="2"/>
    </font>
    <font>
      <b/>
      <sz val="12"/>
      <color indexed="53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  <font>
      <i/>
      <sz val="12"/>
      <color indexed="16"/>
      <name val="Arial"/>
      <family val="2"/>
    </font>
    <font>
      <sz val="12"/>
      <color indexed="57"/>
      <name val="Arial"/>
      <family val="2"/>
    </font>
    <font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</cellStyleXfs>
  <cellXfs count="253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 wrapText="1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left" vertical="center"/>
    </xf>
    <xf numFmtId="164" fontId="8" fillId="0" borderId="0" xfId="0" applyFont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 wrapText="1"/>
    </xf>
    <xf numFmtId="164" fontId="11" fillId="0" borderId="3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vertical="center"/>
    </xf>
    <xf numFmtId="164" fontId="12" fillId="0" borderId="5" xfId="0" applyFont="1" applyBorder="1" applyAlignment="1">
      <alignment horizontal="center" vertical="center" wrapText="1"/>
    </xf>
    <xf numFmtId="164" fontId="13" fillId="0" borderId="6" xfId="0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4" fontId="15" fillId="0" borderId="5" xfId="0" applyFont="1" applyBorder="1" applyAlignment="1">
      <alignment horizontal="center" vertical="center"/>
    </xf>
    <xf numFmtId="164" fontId="16" fillId="0" borderId="5" xfId="0" applyFont="1" applyBorder="1" applyAlignment="1">
      <alignment horizontal="center" vertical="center"/>
    </xf>
    <xf numFmtId="164" fontId="2" fillId="0" borderId="5" xfId="0" applyFont="1" applyBorder="1" applyAlignment="1">
      <alignment vertical="center"/>
    </xf>
    <xf numFmtId="164" fontId="11" fillId="0" borderId="4" xfId="0" applyFont="1" applyBorder="1" applyAlignment="1">
      <alignment horizontal="center" vertical="center" wrapText="1"/>
    </xf>
    <xf numFmtId="164" fontId="17" fillId="0" borderId="5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/>
    </xf>
    <xf numFmtId="164" fontId="17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3" fillId="2" borderId="7" xfId="0" applyFont="1" applyFill="1" applyBorder="1" applyAlignment="1">
      <alignment horizontal="center" vertical="center" wrapText="1"/>
    </xf>
    <xf numFmtId="165" fontId="20" fillId="2" borderId="7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4" fontId="4" fillId="2" borderId="7" xfId="0" applyFont="1" applyFill="1" applyBorder="1" applyAlignment="1">
      <alignment horizontal="center" vertical="center"/>
    </xf>
    <xf numFmtId="166" fontId="2" fillId="2" borderId="8" xfId="0" applyNumberFormat="1" applyFont="1" applyFill="1" applyBorder="1" applyAlignment="1">
      <alignment horizontal="center" vertical="center"/>
    </xf>
    <xf numFmtId="167" fontId="2" fillId="2" borderId="9" xfId="0" applyNumberFormat="1" applyFont="1" applyFill="1" applyBorder="1" applyAlignment="1">
      <alignment horizontal="center" vertical="center"/>
    </xf>
    <xf numFmtId="167" fontId="5" fillId="2" borderId="7" xfId="0" applyNumberFormat="1" applyFont="1" applyFill="1" applyBorder="1" applyAlignment="1" applyProtection="1">
      <alignment horizontal="center" vertical="center"/>
      <protection/>
    </xf>
    <xf numFmtId="167" fontId="6" fillId="2" borderId="7" xfId="0" applyNumberFormat="1" applyFont="1" applyFill="1" applyBorder="1" applyAlignment="1" applyProtection="1">
      <alignment horizontal="center" vertical="center"/>
      <protection/>
    </xf>
    <xf numFmtId="167" fontId="7" fillId="2" borderId="7" xfId="0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8" fontId="2" fillId="0" borderId="7" xfId="0" applyNumberFormat="1" applyFont="1" applyBorder="1" applyAlignment="1">
      <alignment horizontal="center" vertical="center"/>
    </xf>
    <xf numFmtId="167" fontId="21" fillId="0" borderId="7" xfId="0" applyNumberFormat="1" applyFont="1" applyBorder="1" applyAlignment="1">
      <alignment horizontal="right" vertical="center"/>
    </xf>
    <xf numFmtId="167" fontId="6" fillId="0" borderId="7" xfId="0" applyNumberFormat="1" applyFont="1" applyBorder="1" applyAlignment="1">
      <alignment horizontal="right" vertical="center"/>
    </xf>
    <xf numFmtId="170" fontId="22" fillId="0" borderId="7" xfId="19" applyNumberFormat="1" applyFont="1" applyFill="1" applyBorder="1" applyAlignment="1" applyProtection="1">
      <alignment horizontal="center" vertical="center"/>
      <protection/>
    </xf>
    <xf numFmtId="167" fontId="7" fillId="0" borderId="7" xfId="0" applyNumberFormat="1" applyFont="1" applyBorder="1" applyAlignment="1">
      <alignment horizontal="right" vertical="center"/>
    </xf>
    <xf numFmtId="164" fontId="3" fillId="3" borderId="7" xfId="0" applyFont="1" applyFill="1" applyBorder="1" applyAlignment="1">
      <alignment horizontal="center" vertical="center" wrapText="1"/>
    </xf>
    <xf numFmtId="165" fontId="20" fillId="3" borderId="7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Font="1" applyFill="1" applyBorder="1" applyAlignment="1">
      <alignment horizontal="center" vertical="center"/>
    </xf>
    <xf numFmtId="166" fontId="2" fillId="3" borderId="10" xfId="0" applyNumberFormat="1" applyFont="1" applyFill="1" applyBorder="1" applyAlignment="1">
      <alignment horizontal="center" vertical="center"/>
    </xf>
    <xf numFmtId="167" fontId="2" fillId="3" borderId="11" xfId="0" applyNumberFormat="1" applyFont="1" applyFill="1" applyBorder="1" applyAlignment="1">
      <alignment horizontal="center" vertical="center"/>
    </xf>
    <xf numFmtId="167" fontId="5" fillId="3" borderId="7" xfId="0" applyNumberFormat="1" applyFont="1" applyFill="1" applyBorder="1" applyAlignment="1" applyProtection="1">
      <alignment horizontal="center" vertical="center"/>
      <protection/>
    </xf>
    <xf numFmtId="167" fontId="6" fillId="3" borderId="7" xfId="0" applyNumberFormat="1" applyFont="1" applyFill="1" applyBorder="1" applyAlignment="1" applyProtection="1">
      <alignment horizontal="center" vertical="center"/>
      <protection/>
    </xf>
    <xf numFmtId="167" fontId="7" fillId="3" borderId="7" xfId="0" applyNumberFormat="1" applyFont="1" applyFill="1" applyBorder="1" applyAlignment="1" applyProtection="1">
      <alignment horizontal="center" vertical="center"/>
      <protection/>
    </xf>
    <xf numFmtId="168" fontId="2" fillId="3" borderId="7" xfId="0" applyNumberFormat="1" applyFont="1" applyFill="1" applyBorder="1" applyAlignment="1">
      <alignment horizontal="center" vertical="center"/>
    </xf>
    <xf numFmtId="167" fontId="21" fillId="3" borderId="7" xfId="0" applyNumberFormat="1" applyFont="1" applyFill="1" applyBorder="1" applyAlignment="1">
      <alignment horizontal="right" vertical="center"/>
    </xf>
    <xf numFmtId="167" fontId="6" fillId="3" borderId="7" xfId="0" applyNumberFormat="1" applyFont="1" applyFill="1" applyBorder="1" applyAlignment="1">
      <alignment horizontal="right" vertical="center"/>
    </xf>
    <xf numFmtId="170" fontId="22" fillId="3" borderId="7" xfId="19" applyNumberFormat="1" applyFont="1" applyFill="1" applyBorder="1" applyAlignment="1" applyProtection="1">
      <alignment horizontal="center" vertical="center"/>
      <protection/>
    </xf>
    <xf numFmtId="167" fontId="7" fillId="3" borderId="7" xfId="0" applyNumberFormat="1" applyFont="1" applyFill="1" applyBorder="1" applyAlignment="1">
      <alignment horizontal="right" vertical="center"/>
    </xf>
    <xf numFmtId="165" fontId="2" fillId="4" borderId="7" xfId="0" applyNumberFormat="1" applyFont="1" applyFill="1" applyBorder="1" applyAlignment="1">
      <alignment horizontal="center" vertical="center" wrapText="1"/>
    </xf>
    <xf numFmtId="168" fontId="2" fillId="4" borderId="7" xfId="0" applyNumberFormat="1" applyFont="1" applyFill="1" applyBorder="1" applyAlignment="1">
      <alignment horizontal="center" vertical="center"/>
    </xf>
    <xf numFmtId="167" fontId="21" fillId="4" borderId="7" xfId="0" applyNumberFormat="1" applyFont="1" applyFill="1" applyBorder="1" applyAlignment="1">
      <alignment horizontal="right" vertical="center"/>
    </xf>
    <xf numFmtId="167" fontId="6" fillId="4" borderId="7" xfId="0" applyNumberFormat="1" applyFont="1" applyFill="1" applyBorder="1" applyAlignment="1">
      <alignment horizontal="right" vertical="center"/>
    </xf>
    <xf numFmtId="170" fontId="22" fillId="4" borderId="7" xfId="19" applyNumberFormat="1" applyFont="1" applyFill="1" applyBorder="1" applyAlignment="1" applyProtection="1">
      <alignment horizontal="center" vertical="center"/>
      <protection/>
    </xf>
    <xf numFmtId="167" fontId="7" fillId="4" borderId="7" xfId="0" applyNumberFormat="1" applyFont="1" applyFill="1" applyBorder="1" applyAlignment="1">
      <alignment horizontal="right" vertical="center"/>
    </xf>
    <xf numFmtId="164" fontId="3" fillId="5" borderId="7" xfId="0" applyFont="1" applyFill="1" applyBorder="1" applyAlignment="1">
      <alignment horizontal="center" vertical="center" wrapText="1"/>
    </xf>
    <xf numFmtId="165" fontId="20" fillId="5" borderId="7" xfId="0" applyNumberFormat="1" applyFont="1" applyFill="1" applyBorder="1" applyAlignment="1">
      <alignment horizontal="center" vertical="center" wrapText="1"/>
    </xf>
    <xf numFmtId="165" fontId="2" fillId="5" borderId="7" xfId="0" applyNumberFormat="1" applyFont="1" applyFill="1" applyBorder="1" applyAlignment="1">
      <alignment horizontal="center" vertical="center" wrapText="1"/>
    </xf>
    <xf numFmtId="165" fontId="4" fillId="5" borderId="7" xfId="0" applyNumberFormat="1" applyFont="1" applyFill="1" applyBorder="1" applyAlignment="1">
      <alignment horizontal="center" vertical="center" wrapText="1"/>
    </xf>
    <xf numFmtId="164" fontId="4" fillId="5" borderId="7" xfId="0" applyFont="1" applyFill="1" applyBorder="1" applyAlignment="1">
      <alignment horizontal="center" vertical="center"/>
    </xf>
    <xf numFmtId="166" fontId="2" fillId="5" borderId="10" xfId="0" applyNumberFormat="1" applyFont="1" applyFill="1" applyBorder="1" applyAlignment="1">
      <alignment horizontal="center" vertical="center"/>
    </xf>
    <xf numFmtId="167" fontId="2" fillId="5" borderId="11" xfId="0" applyNumberFormat="1" applyFont="1" applyFill="1" applyBorder="1" applyAlignment="1">
      <alignment horizontal="center" vertical="center"/>
    </xf>
    <xf numFmtId="167" fontId="5" fillId="5" borderId="7" xfId="0" applyNumberFormat="1" applyFont="1" applyFill="1" applyBorder="1" applyAlignment="1" applyProtection="1">
      <alignment horizontal="center" vertical="center"/>
      <protection/>
    </xf>
    <xf numFmtId="167" fontId="6" fillId="5" borderId="7" xfId="0" applyNumberFormat="1" applyFont="1" applyFill="1" applyBorder="1" applyAlignment="1" applyProtection="1">
      <alignment horizontal="center" vertical="center"/>
      <protection/>
    </xf>
    <xf numFmtId="167" fontId="7" fillId="5" borderId="7" xfId="0" applyNumberFormat="1" applyFont="1" applyFill="1" applyBorder="1" applyAlignment="1" applyProtection="1">
      <alignment horizontal="center" vertical="center"/>
      <protection/>
    </xf>
    <xf numFmtId="165" fontId="2" fillId="6" borderId="7" xfId="0" applyNumberFormat="1" applyFont="1" applyFill="1" applyBorder="1" applyAlignment="1">
      <alignment horizontal="center" vertical="center" wrapText="1"/>
    </xf>
    <xf numFmtId="168" fontId="2" fillId="6" borderId="7" xfId="0" applyNumberFormat="1" applyFont="1" applyFill="1" applyBorder="1" applyAlignment="1">
      <alignment horizontal="center" vertical="center"/>
    </xf>
    <xf numFmtId="167" fontId="21" fillId="6" borderId="7" xfId="0" applyNumberFormat="1" applyFont="1" applyFill="1" applyBorder="1" applyAlignment="1">
      <alignment horizontal="right" vertical="center"/>
    </xf>
    <xf numFmtId="167" fontId="6" fillId="6" borderId="7" xfId="0" applyNumberFormat="1" applyFont="1" applyFill="1" applyBorder="1" applyAlignment="1">
      <alignment horizontal="right" vertical="center"/>
    </xf>
    <xf numFmtId="170" fontId="22" fillId="6" borderId="7" xfId="19" applyNumberFormat="1" applyFont="1" applyFill="1" applyBorder="1" applyAlignment="1" applyProtection="1">
      <alignment horizontal="center" vertical="center"/>
      <protection/>
    </xf>
    <xf numFmtId="167" fontId="7" fillId="6" borderId="7" xfId="0" applyNumberFormat="1" applyFont="1" applyFill="1" applyBorder="1" applyAlignment="1">
      <alignment horizontal="right" vertical="center"/>
    </xf>
    <xf numFmtId="165" fontId="2" fillId="7" borderId="7" xfId="0" applyNumberFormat="1" applyFont="1" applyFill="1" applyBorder="1" applyAlignment="1">
      <alignment horizontal="center" vertical="center" wrapText="1"/>
    </xf>
    <xf numFmtId="168" fontId="2" fillId="7" borderId="7" xfId="0" applyNumberFormat="1" applyFont="1" applyFill="1" applyBorder="1" applyAlignment="1">
      <alignment horizontal="center" vertical="center"/>
    </xf>
    <xf numFmtId="167" fontId="21" fillId="7" borderId="7" xfId="0" applyNumberFormat="1" applyFont="1" applyFill="1" applyBorder="1" applyAlignment="1">
      <alignment horizontal="right" vertical="center"/>
    </xf>
    <xf numFmtId="167" fontId="6" fillId="7" borderId="7" xfId="0" applyNumberFormat="1" applyFont="1" applyFill="1" applyBorder="1" applyAlignment="1">
      <alignment horizontal="right" vertical="center"/>
    </xf>
    <xf numFmtId="170" fontId="22" fillId="7" borderId="7" xfId="19" applyNumberFormat="1" applyFont="1" applyFill="1" applyBorder="1" applyAlignment="1" applyProtection="1">
      <alignment horizontal="center" vertical="center"/>
      <protection/>
    </xf>
    <xf numFmtId="167" fontId="7" fillId="7" borderId="7" xfId="0" applyNumberFormat="1" applyFont="1" applyFill="1" applyBorder="1" applyAlignment="1">
      <alignment horizontal="right" vertical="center"/>
    </xf>
    <xf numFmtId="164" fontId="2" fillId="8" borderId="7" xfId="0" applyFont="1" applyFill="1" applyBorder="1" applyAlignment="1">
      <alignment horizontal="center" vertical="center"/>
    </xf>
    <xf numFmtId="168" fontId="2" fillId="8" borderId="7" xfId="0" applyNumberFormat="1" applyFont="1" applyFill="1" applyBorder="1" applyAlignment="1">
      <alignment horizontal="center" vertical="center"/>
    </xf>
    <xf numFmtId="167" fontId="21" fillId="8" borderId="7" xfId="0" applyNumberFormat="1" applyFont="1" applyFill="1" applyBorder="1" applyAlignment="1">
      <alignment horizontal="right" vertical="center"/>
    </xf>
    <xf numFmtId="167" fontId="6" fillId="8" borderId="7" xfId="0" applyNumberFormat="1" applyFont="1" applyFill="1" applyBorder="1" applyAlignment="1">
      <alignment horizontal="right" vertical="center"/>
    </xf>
    <xf numFmtId="170" fontId="22" fillId="8" borderId="7" xfId="19" applyNumberFormat="1" applyFont="1" applyFill="1" applyBorder="1" applyAlignment="1" applyProtection="1">
      <alignment horizontal="center" vertical="center"/>
      <protection/>
    </xf>
    <xf numFmtId="167" fontId="7" fillId="8" borderId="7" xfId="0" applyNumberFormat="1" applyFont="1" applyFill="1" applyBorder="1" applyAlignment="1">
      <alignment horizontal="right" vertical="center"/>
    </xf>
    <xf numFmtId="165" fontId="2" fillId="9" borderId="7" xfId="0" applyNumberFormat="1" applyFont="1" applyFill="1" applyBorder="1" applyAlignment="1">
      <alignment horizontal="center" vertical="center" wrapText="1"/>
    </xf>
    <xf numFmtId="168" fontId="2" fillId="9" borderId="7" xfId="0" applyNumberFormat="1" applyFont="1" applyFill="1" applyBorder="1" applyAlignment="1">
      <alignment horizontal="center" vertical="center"/>
    </xf>
    <xf numFmtId="167" fontId="21" fillId="9" borderId="7" xfId="0" applyNumberFormat="1" applyFont="1" applyFill="1" applyBorder="1" applyAlignment="1">
      <alignment horizontal="right" vertical="center"/>
    </xf>
    <xf numFmtId="167" fontId="6" fillId="9" borderId="7" xfId="0" applyNumberFormat="1" applyFont="1" applyFill="1" applyBorder="1" applyAlignment="1">
      <alignment horizontal="right" vertical="center"/>
    </xf>
    <xf numFmtId="170" fontId="22" fillId="9" borderId="7" xfId="19" applyNumberFormat="1" applyFont="1" applyFill="1" applyBorder="1" applyAlignment="1" applyProtection="1">
      <alignment horizontal="center" vertical="center"/>
      <protection/>
    </xf>
    <xf numFmtId="167" fontId="7" fillId="9" borderId="7" xfId="0" applyNumberFormat="1" applyFont="1" applyFill="1" applyBorder="1" applyAlignment="1">
      <alignment horizontal="right" vertical="center"/>
    </xf>
    <xf numFmtId="164" fontId="3" fillId="0" borderId="7" xfId="0" applyFont="1" applyBorder="1" applyAlignment="1">
      <alignment horizontal="center" vertical="center" wrapText="1"/>
    </xf>
    <xf numFmtId="165" fontId="20" fillId="0" borderId="7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5" fillId="0" borderId="7" xfId="0" applyNumberFormat="1" applyFont="1" applyBorder="1" applyAlignment="1" applyProtection="1">
      <alignment horizontal="center" vertical="center"/>
      <protection/>
    </xf>
    <xf numFmtId="167" fontId="6" fillId="0" borderId="7" xfId="0" applyNumberFormat="1" applyFont="1" applyBorder="1" applyAlignment="1" applyProtection="1">
      <alignment horizontal="center" vertical="center"/>
      <protection/>
    </xf>
    <xf numFmtId="167" fontId="7" fillId="0" borderId="7" xfId="0" applyNumberFormat="1" applyFont="1" applyBorder="1" applyAlignment="1" applyProtection="1">
      <alignment horizontal="center" vertical="center"/>
      <protection/>
    </xf>
    <xf numFmtId="168" fontId="2" fillId="2" borderId="7" xfId="0" applyNumberFormat="1" applyFont="1" applyFill="1" applyBorder="1" applyAlignment="1">
      <alignment horizontal="center" vertical="center"/>
    </xf>
    <xf numFmtId="167" fontId="21" fillId="2" borderId="7" xfId="0" applyNumberFormat="1" applyFont="1" applyFill="1" applyBorder="1" applyAlignment="1">
      <alignment horizontal="right" vertical="center"/>
    </xf>
    <xf numFmtId="167" fontId="6" fillId="2" borderId="7" xfId="0" applyNumberFormat="1" applyFont="1" applyFill="1" applyBorder="1" applyAlignment="1">
      <alignment horizontal="right" vertical="center"/>
    </xf>
    <xf numFmtId="170" fontId="22" fillId="2" borderId="7" xfId="19" applyNumberFormat="1" applyFont="1" applyFill="1" applyBorder="1" applyAlignment="1" applyProtection="1">
      <alignment horizontal="center" vertical="center"/>
      <protection/>
    </xf>
    <xf numFmtId="167" fontId="7" fillId="2" borderId="7" xfId="0" applyNumberFormat="1" applyFont="1" applyFill="1" applyBorder="1" applyAlignment="1">
      <alignment horizontal="right" vertical="center"/>
    </xf>
    <xf numFmtId="164" fontId="3" fillId="6" borderId="7" xfId="0" applyFont="1" applyFill="1" applyBorder="1" applyAlignment="1">
      <alignment horizontal="center" vertical="center" wrapText="1"/>
    </xf>
    <xf numFmtId="165" fontId="20" fillId="6" borderId="7" xfId="0" applyNumberFormat="1" applyFont="1" applyFill="1" applyBorder="1" applyAlignment="1">
      <alignment horizontal="center" vertical="center" wrapText="1"/>
    </xf>
    <xf numFmtId="165" fontId="4" fillId="6" borderId="7" xfId="0" applyNumberFormat="1" applyFont="1" applyFill="1" applyBorder="1" applyAlignment="1">
      <alignment horizontal="center" vertical="center" wrapText="1"/>
    </xf>
    <xf numFmtId="164" fontId="4" fillId="6" borderId="7" xfId="0" applyFont="1" applyFill="1" applyBorder="1" applyAlignment="1">
      <alignment horizontal="center" vertical="center"/>
    </xf>
    <xf numFmtId="166" fontId="2" fillId="6" borderId="10" xfId="0" applyNumberFormat="1" applyFont="1" applyFill="1" applyBorder="1" applyAlignment="1">
      <alignment horizontal="center" vertical="center"/>
    </xf>
    <xf numFmtId="167" fontId="2" fillId="6" borderId="11" xfId="0" applyNumberFormat="1" applyFont="1" applyFill="1" applyBorder="1" applyAlignment="1">
      <alignment horizontal="center" vertical="center"/>
    </xf>
    <xf numFmtId="167" fontId="5" fillId="6" borderId="7" xfId="0" applyNumberFormat="1" applyFont="1" applyFill="1" applyBorder="1" applyAlignment="1" applyProtection="1">
      <alignment horizontal="center" vertical="center"/>
      <protection/>
    </xf>
    <xf numFmtId="167" fontId="6" fillId="6" borderId="7" xfId="0" applyNumberFormat="1" applyFont="1" applyFill="1" applyBorder="1" applyAlignment="1" applyProtection="1">
      <alignment horizontal="center" vertical="center"/>
      <protection/>
    </xf>
    <xf numFmtId="167" fontId="7" fillId="6" borderId="7" xfId="0" applyNumberFormat="1" applyFont="1" applyFill="1" applyBorder="1" applyAlignment="1" applyProtection="1">
      <alignment horizontal="center" vertical="center"/>
      <protection/>
    </xf>
    <xf numFmtId="168" fontId="2" fillId="5" borderId="7" xfId="0" applyNumberFormat="1" applyFont="1" applyFill="1" applyBorder="1" applyAlignment="1">
      <alignment horizontal="center" vertical="center"/>
    </xf>
    <xf numFmtId="167" fontId="21" fillId="5" borderId="7" xfId="0" applyNumberFormat="1" applyFont="1" applyFill="1" applyBorder="1" applyAlignment="1">
      <alignment horizontal="right" vertical="center"/>
    </xf>
    <xf numFmtId="167" fontId="6" fillId="5" borderId="7" xfId="0" applyNumberFormat="1" applyFont="1" applyFill="1" applyBorder="1" applyAlignment="1">
      <alignment horizontal="right" vertical="center"/>
    </xf>
    <xf numFmtId="170" fontId="22" fillId="5" borderId="7" xfId="19" applyNumberFormat="1" applyFont="1" applyFill="1" applyBorder="1" applyAlignment="1" applyProtection="1">
      <alignment horizontal="center" vertical="center"/>
      <protection/>
    </xf>
    <xf numFmtId="167" fontId="7" fillId="5" borderId="7" xfId="0" applyNumberFormat="1" applyFont="1" applyFill="1" applyBorder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70" fontId="22" fillId="0" borderId="0" xfId="19" applyNumberFormat="1" applyFont="1" applyFill="1" applyBorder="1" applyAlignment="1" applyProtection="1">
      <alignment horizontal="center" vertical="center"/>
      <protection/>
    </xf>
    <xf numFmtId="167" fontId="7" fillId="0" borderId="0" xfId="0" applyNumberFormat="1" applyFont="1" applyAlignment="1">
      <alignment horizontal="right" vertical="center"/>
    </xf>
    <xf numFmtId="164" fontId="11" fillId="0" borderId="12" xfId="0" applyFont="1" applyBorder="1" applyAlignment="1">
      <alignment horizontal="center" vertical="center"/>
    </xf>
    <xf numFmtId="167" fontId="14" fillId="0" borderId="12" xfId="0" applyNumberFormat="1" applyFont="1" applyBorder="1" applyAlignment="1">
      <alignment horizontal="right" vertical="center"/>
    </xf>
    <xf numFmtId="167" fontId="15" fillId="0" borderId="12" xfId="0" applyNumberFormat="1" applyFont="1" applyBorder="1" applyAlignment="1">
      <alignment horizontal="right" vertical="center"/>
    </xf>
    <xf numFmtId="170" fontId="17" fillId="0" borderId="12" xfId="19" applyNumberFormat="1" applyFont="1" applyFill="1" applyBorder="1" applyAlignment="1" applyProtection="1">
      <alignment horizontal="center" vertical="center"/>
      <protection/>
    </xf>
    <xf numFmtId="167" fontId="16" fillId="0" borderId="12" xfId="0" applyNumberFormat="1" applyFont="1" applyBorder="1" applyAlignment="1">
      <alignment horizontal="right" vertical="center"/>
    </xf>
    <xf numFmtId="166" fontId="2" fillId="2" borderId="10" xfId="0" applyNumberFormat="1" applyFont="1" applyFill="1" applyBorder="1" applyAlignment="1">
      <alignment horizontal="center" vertical="center"/>
    </xf>
    <xf numFmtId="167" fontId="2" fillId="2" borderId="11" xfId="0" applyNumberFormat="1" applyFont="1" applyFill="1" applyBorder="1" applyAlignment="1">
      <alignment horizontal="center" vertical="center"/>
    </xf>
    <xf numFmtId="164" fontId="3" fillId="8" borderId="7" xfId="0" applyFont="1" applyFill="1" applyBorder="1" applyAlignment="1">
      <alignment horizontal="center" vertical="center" wrapText="1"/>
    </xf>
    <xf numFmtId="165" fontId="20" fillId="8" borderId="7" xfId="0" applyNumberFormat="1" applyFont="1" applyFill="1" applyBorder="1" applyAlignment="1">
      <alignment horizontal="center" vertical="center" wrapText="1"/>
    </xf>
    <xf numFmtId="165" fontId="2" fillId="8" borderId="7" xfId="0" applyNumberFormat="1" applyFont="1" applyFill="1" applyBorder="1" applyAlignment="1">
      <alignment horizontal="center" vertical="center" wrapText="1"/>
    </xf>
    <xf numFmtId="165" fontId="4" fillId="8" borderId="7" xfId="0" applyNumberFormat="1" applyFont="1" applyFill="1" applyBorder="1" applyAlignment="1">
      <alignment horizontal="center" vertical="center" wrapText="1"/>
    </xf>
    <xf numFmtId="164" fontId="4" fillId="8" borderId="7" xfId="0" applyFont="1" applyFill="1" applyBorder="1" applyAlignment="1">
      <alignment horizontal="center" vertical="center"/>
    </xf>
    <xf numFmtId="166" fontId="2" fillId="8" borderId="10" xfId="0" applyNumberFormat="1" applyFont="1" applyFill="1" applyBorder="1" applyAlignment="1">
      <alignment horizontal="center" vertical="center"/>
    </xf>
    <xf numFmtId="167" fontId="2" fillId="8" borderId="11" xfId="0" applyNumberFormat="1" applyFont="1" applyFill="1" applyBorder="1" applyAlignment="1">
      <alignment horizontal="center" vertical="center"/>
    </xf>
    <xf numFmtId="167" fontId="5" fillId="8" borderId="7" xfId="0" applyNumberFormat="1" applyFont="1" applyFill="1" applyBorder="1" applyAlignment="1" applyProtection="1">
      <alignment horizontal="center" vertical="center"/>
      <protection/>
    </xf>
    <xf numFmtId="167" fontId="6" fillId="8" borderId="7" xfId="0" applyNumberFormat="1" applyFont="1" applyFill="1" applyBorder="1" applyAlignment="1" applyProtection="1">
      <alignment horizontal="center" vertical="center"/>
      <protection/>
    </xf>
    <xf numFmtId="167" fontId="7" fillId="8" borderId="7" xfId="0" applyNumberFormat="1" applyFont="1" applyFill="1" applyBorder="1" applyAlignment="1" applyProtection="1">
      <alignment horizontal="center" vertical="center"/>
      <protection/>
    </xf>
    <xf numFmtId="164" fontId="20" fillId="0" borderId="7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2" fillId="3" borderId="7" xfId="0" applyFont="1" applyFill="1" applyBorder="1" applyAlignment="1">
      <alignment horizontal="center" vertical="center"/>
    </xf>
    <xf numFmtId="164" fontId="20" fillId="6" borderId="7" xfId="0" applyFont="1" applyFill="1" applyBorder="1" applyAlignment="1">
      <alignment horizontal="center" vertical="center"/>
    </xf>
    <xf numFmtId="164" fontId="2" fillId="6" borderId="7" xfId="0" applyFont="1" applyFill="1" applyBorder="1" applyAlignment="1">
      <alignment horizontal="center" vertical="center"/>
    </xf>
    <xf numFmtId="164" fontId="3" fillId="4" borderId="7" xfId="0" applyFont="1" applyFill="1" applyBorder="1" applyAlignment="1">
      <alignment horizontal="center" vertical="center" wrapText="1"/>
    </xf>
    <xf numFmtId="165" fontId="20" fillId="4" borderId="7" xfId="0" applyNumberFormat="1" applyFont="1" applyFill="1" applyBorder="1" applyAlignment="1">
      <alignment horizontal="center" vertical="center" wrapText="1"/>
    </xf>
    <xf numFmtId="165" fontId="4" fillId="4" borderId="7" xfId="0" applyNumberFormat="1" applyFont="1" applyFill="1" applyBorder="1" applyAlignment="1">
      <alignment horizontal="center" vertical="center" wrapText="1"/>
    </xf>
    <xf numFmtId="164" fontId="4" fillId="4" borderId="7" xfId="0" applyFont="1" applyFill="1" applyBorder="1" applyAlignment="1">
      <alignment horizontal="center" vertical="center"/>
    </xf>
    <xf numFmtId="166" fontId="2" fillId="4" borderId="10" xfId="0" applyNumberFormat="1" applyFont="1" applyFill="1" applyBorder="1" applyAlignment="1">
      <alignment horizontal="center" vertical="center"/>
    </xf>
    <xf numFmtId="167" fontId="2" fillId="4" borderId="11" xfId="0" applyNumberFormat="1" applyFont="1" applyFill="1" applyBorder="1" applyAlignment="1">
      <alignment horizontal="center" vertical="center"/>
    </xf>
    <xf numFmtId="167" fontId="5" fillId="4" borderId="7" xfId="0" applyNumberFormat="1" applyFont="1" applyFill="1" applyBorder="1" applyAlignment="1" applyProtection="1">
      <alignment horizontal="center" vertical="center"/>
      <protection/>
    </xf>
    <xf numFmtId="167" fontId="6" fillId="4" borderId="7" xfId="0" applyNumberFormat="1" applyFont="1" applyFill="1" applyBorder="1" applyAlignment="1" applyProtection="1">
      <alignment horizontal="center" vertical="center"/>
      <protection/>
    </xf>
    <xf numFmtId="167" fontId="7" fillId="4" borderId="7" xfId="0" applyNumberFormat="1" applyFont="1" applyFill="1" applyBorder="1" applyAlignment="1" applyProtection="1">
      <alignment horizontal="center" vertical="center"/>
      <protection/>
    </xf>
    <xf numFmtId="164" fontId="3" fillId="7" borderId="7" xfId="0" applyFont="1" applyFill="1" applyBorder="1" applyAlignment="1">
      <alignment horizontal="center" vertical="center" wrapText="1"/>
    </xf>
    <xf numFmtId="165" fontId="20" fillId="7" borderId="7" xfId="0" applyNumberFormat="1" applyFont="1" applyFill="1" applyBorder="1" applyAlignment="1">
      <alignment horizontal="center" vertical="center" wrapText="1"/>
    </xf>
    <xf numFmtId="165" fontId="4" fillId="7" borderId="7" xfId="0" applyNumberFormat="1" applyFont="1" applyFill="1" applyBorder="1" applyAlignment="1">
      <alignment horizontal="center" vertical="center" wrapText="1"/>
    </xf>
    <xf numFmtId="164" fontId="4" fillId="7" borderId="7" xfId="0" applyFont="1" applyFill="1" applyBorder="1" applyAlignment="1">
      <alignment horizontal="center" vertical="center"/>
    </xf>
    <xf numFmtId="166" fontId="2" fillId="7" borderId="10" xfId="0" applyNumberFormat="1" applyFont="1" applyFill="1" applyBorder="1" applyAlignment="1">
      <alignment horizontal="center" vertical="center"/>
    </xf>
    <xf numFmtId="167" fontId="2" fillId="7" borderId="11" xfId="0" applyNumberFormat="1" applyFont="1" applyFill="1" applyBorder="1" applyAlignment="1">
      <alignment horizontal="center" vertical="center"/>
    </xf>
    <xf numFmtId="167" fontId="5" fillId="7" borderId="7" xfId="0" applyNumberFormat="1" applyFont="1" applyFill="1" applyBorder="1" applyAlignment="1" applyProtection="1">
      <alignment horizontal="center" vertical="center"/>
      <protection/>
    </xf>
    <xf numFmtId="167" fontId="6" fillId="7" borderId="7" xfId="0" applyNumberFormat="1" applyFont="1" applyFill="1" applyBorder="1" applyAlignment="1" applyProtection="1">
      <alignment horizontal="center" vertical="center"/>
      <protection/>
    </xf>
    <xf numFmtId="167" fontId="7" fillId="7" borderId="7" xfId="0" applyNumberFormat="1" applyFont="1" applyFill="1" applyBorder="1" applyAlignment="1" applyProtection="1">
      <alignment horizontal="center" vertical="center"/>
      <protection/>
    </xf>
    <xf numFmtId="164" fontId="20" fillId="3" borderId="7" xfId="0" applyFont="1" applyFill="1" applyBorder="1" applyAlignment="1">
      <alignment horizontal="center" vertical="center"/>
    </xf>
    <xf numFmtId="164" fontId="20" fillId="4" borderId="7" xfId="0" applyFont="1" applyFill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 wrapText="1"/>
    </xf>
    <xf numFmtId="164" fontId="3" fillId="4" borderId="7" xfId="0" applyFont="1" applyFill="1" applyBorder="1" applyAlignment="1">
      <alignment horizontal="center" vertical="center"/>
    </xf>
    <xf numFmtId="164" fontId="2" fillId="4" borderId="7" xfId="0" applyFont="1" applyFill="1" applyBorder="1" applyAlignment="1">
      <alignment horizontal="center" vertical="center"/>
    </xf>
    <xf numFmtId="164" fontId="3" fillId="9" borderId="7" xfId="0" applyFont="1" applyFill="1" applyBorder="1" applyAlignment="1">
      <alignment horizontal="center" vertical="center" wrapText="1"/>
    </xf>
    <xf numFmtId="165" fontId="20" fillId="9" borderId="7" xfId="0" applyNumberFormat="1" applyFont="1" applyFill="1" applyBorder="1" applyAlignment="1">
      <alignment horizontal="center" vertical="center" wrapText="1"/>
    </xf>
    <xf numFmtId="165" fontId="4" fillId="9" borderId="7" xfId="0" applyNumberFormat="1" applyFont="1" applyFill="1" applyBorder="1" applyAlignment="1">
      <alignment horizontal="center" vertical="center" wrapText="1"/>
    </xf>
    <xf numFmtId="164" fontId="4" fillId="9" borderId="7" xfId="0" applyFont="1" applyFill="1" applyBorder="1" applyAlignment="1">
      <alignment horizontal="center" vertical="center"/>
    </xf>
    <xf numFmtId="166" fontId="2" fillId="9" borderId="10" xfId="0" applyNumberFormat="1" applyFont="1" applyFill="1" applyBorder="1" applyAlignment="1">
      <alignment horizontal="center" vertical="center"/>
    </xf>
    <xf numFmtId="167" fontId="2" fillId="9" borderId="11" xfId="0" applyNumberFormat="1" applyFont="1" applyFill="1" applyBorder="1" applyAlignment="1">
      <alignment horizontal="center" vertical="center"/>
    </xf>
    <xf numFmtId="167" fontId="5" fillId="9" borderId="7" xfId="0" applyNumberFormat="1" applyFont="1" applyFill="1" applyBorder="1" applyAlignment="1" applyProtection="1">
      <alignment horizontal="center" vertical="center"/>
      <protection/>
    </xf>
    <xf numFmtId="167" fontId="7" fillId="9" borderId="7" xfId="0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164" fontId="11" fillId="0" borderId="12" xfId="0" applyFont="1" applyBorder="1" applyAlignment="1">
      <alignment horizontal="center" vertical="center" wrapText="1"/>
    </xf>
    <xf numFmtId="171" fontId="13" fillId="0" borderId="1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7" fontId="11" fillId="0" borderId="12" xfId="0" applyNumberFormat="1" applyFont="1" applyBorder="1" applyAlignment="1">
      <alignment horizontal="center" vertical="center"/>
    </xf>
    <xf numFmtId="167" fontId="23" fillId="0" borderId="12" xfId="0" applyNumberFormat="1" applyFont="1" applyBorder="1" applyAlignment="1">
      <alignment vertical="center"/>
    </xf>
    <xf numFmtId="167" fontId="15" fillId="0" borderId="12" xfId="0" applyNumberFormat="1" applyFont="1" applyBorder="1" applyAlignment="1">
      <alignment vertical="center"/>
    </xf>
    <xf numFmtId="167" fontId="16" fillId="0" borderId="12" xfId="0" applyNumberFormat="1" applyFont="1" applyBorder="1" applyAlignment="1">
      <alignment vertical="center"/>
    </xf>
    <xf numFmtId="166" fontId="21" fillId="0" borderId="7" xfId="0" applyNumberFormat="1" applyFont="1" applyBorder="1" applyAlignment="1">
      <alignment horizontal="right" vertical="center"/>
    </xf>
    <xf numFmtId="166" fontId="6" fillId="0" borderId="7" xfId="0" applyNumberFormat="1" applyFont="1" applyBorder="1" applyAlignment="1">
      <alignment horizontal="right" vertical="center"/>
    </xf>
    <xf numFmtId="166" fontId="7" fillId="0" borderId="7" xfId="0" applyNumberFormat="1" applyFont="1" applyBorder="1" applyAlignment="1">
      <alignment horizontal="right" vertical="center"/>
    </xf>
    <xf numFmtId="166" fontId="21" fillId="3" borderId="7" xfId="0" applyNumberFormat="1" applyFont="1" applyFill="1" applyBorder="1" applyAlignment="1">
      <alignment horizontal="right" vertical="center"/>
    </xf>
    <xf numFmtId="166" fontId="6" fillId="3" borderId="7" xfId="0" applyNumberFormat="1" applyFont="1" applyFill="1" applyBorder="1" applyAlignment="1">
      <alignment horizontal="right" vertical="center"/>
    </xf>
    <xf numFmtId="166" fontId="7" fillId="3" borderId="7" xfId="0" applyNumberFormat="1" applyFont="1" applyFill="1" applyBorder="1" applyAlignment="1">
      <alignment horizontal="right" vertical="center"/>
    </xf>
    <xf numFmtId="166" fontId="21" fillId="4" borderId="7" xfId="0" applyNumberFormat="1" applyFont="1" applyFill="1" applyBorder="1" applyAlignment="1">
      <alignment horizontal="right" vertical="center"/>
    </xf>
    <xf numFmtId="166" fontId="6" fillId="4" borderId="7" xfId="0" applyNumberFormat="1" applyFont="1" applyFill="1" applyBorder="1" applyAlignment="1">
      <alignment horizontal="right" vertical="center"/>
    </xf>
    <xf numFmtId="166" fontId="7" fillId="4" borderId="7" xfId="0" applyNumberFormat="1" applyFont="1" applyFill="1" applyBorder="1" applyAlignment="1">
      <alignment horizontal="right" vertical="center"/>
    </xf>
    <xf numFmtId="166" fontId="21" fillId="6" borderId="7" xfId="0" applyNumberFormat="1" applyFont="1" applyFill="1" applyBorder="1" applyAlignment="1">
      <alignment horizontal="right" vertical="center"/>
    </xf>
    <xf numFmtId="166" fontId="6" fillId="6" borderId="7" xfId="0" applyNumberFormat="1" applyFont="1" applyFill="1" applyBorder="1" applyAlignment="1">
      <alignment horizontal="right" vertical="center"/>
    </xf>
    <xf numFmtId="166" fontId="7" fillId="6" borderId="7" xfId="0" applyNumberFormat="1" applyFont="1" applyFill="1" applyBorder="1" applyAlignment="1">
      <alignment horizontal="right" vertical="center"/>
    </xf>
    <xf numFmtId="166" fontId="21" fillId="7" borderId="7" xfId="0" applyNumberFormat="1" applyFont="1" applyFill="1" applyBorder="1" applyAlignment="1">
      <alignment horizontal="right" vertical="center"/>
    </xf>
    <xf numFmtId="166" fontId="6" fillId="7" borderId="7" xfId="0" applyNumberFormat="1" applyFont="1" applyFill="1" applyBorder="1" applyAlignment="1">
      <alignment horizontal="right" vertical="center"/>
    </xf>
    <xf numFmtId="166" fontId="7" fillId="7" borderId="7" xfId="0" applyNumberFormat="1" applyFont="1" applyFill="1" applyBorder="1" applyAlignment="1">
      <alignment horizontal="right" vertical="center"/>
    </xf>
    <xf numFmtId="166" fontId="21" fillId="2" borderId="7" xfId="0" applyNumberFormat="1" applyFont="1" applyFill="1" applyBorder="1" applyAlignment="1">
      <alignment horizontal="right" vertical="center"/>
    </xf>
    <xf numFmtId="166" fontId="6" fillId="2" borderId="7" xfId="0" applyNumberFormat="1" applyFont="1" applyFill="1" applyBorder="1" applyAlignment="1">
      <alignment horizontal="right" vertical="center"/>
    </xf>
    <xf numFmtId="166" fontId="7" fillId="2" borderId="7" xfId="0" applyNumberFormat="1" applyFont="1" applyFill="1" applyBorder="1" applyAlignment="1">
      <alignment horizontal="right" vertical="center"/>
    </xf>
    <xf numFmtId="166" fontId="21" fillId="5" borderId="7" xfId="0" applyNumberFormat="1" applyFont="1" applyFill="1" applyBorder="1" applyAlignment="1">
      <alignment horizontal="right" vertical="center"/>
    </xf>
    <xf numFmtId="166" fontId="6" fillId="5" borderId="7" xfId="0" applyNumberFormat="1" applyFont="1" applyFill="1" applyBorder="1" applyAlignment="1">
      <alignment horizontal="right" vertical="center"/>
    </xf>
    <xf numFmtId="166" fontId="7" fillId="5" borderId="7" xfId="0" applyNumberFormat="1" applyFont="1" applyFill="1" applyBorder="1" applyAlignment="1">
      <alignment horizontal="right" vertical="center"/>
    </xf>
    <xf numFmtId="166" fontId="21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166" fontId="14" fillId="0" borderId="12" xfId="0" applyNumberFormat="1" applyFont="1" applyBorder="1" applyAlignment="1">
      <alignment horizontal="right" vertical="center"/>
    </xf>
    <xf numFmtId="166" fontId="15" fillId="0" borderId="12" xfId="0" applyNumberFormat="1" applyFont="1" applyBorder="1" applyAlignment="1">
      <alignment horizontal="right" vertical="center"/>
    </xf>
    <xf numFmtId="166" fontId="16" fillId="0" borderId="12" xfId="0" applyNumberFormat="1" applyFont="1" applyBorder="1" applyAlignment="1">
      <alignment horizontal="right" vertical="center"/>
    </xf>
    <xf numFmtId="164" fontId="11" fillId="0" borderId="0" xfId="0" applyFont="1" applyBorder="1" applyAlignment="1">
      <alignment horizontal="center" vertical="center"/>
    </xf>
    <xf numFmtId="166" fontId="21" fillId="9" borderId="7" xfId="0" applyNumberFormat="1" applyFont="1" applyFill="1" applyBorder="1" applyAlignment="1">
      <alignment horizontal="right" vertical="center"/>
    </xf>
    <xf numFmtId="166" fontId="6" fillId="9" borderId="7" xfId="0" applyNumberFormat="1" applyFont="1" applyFill="1" applyBorder="1" applyAlignment="1">
      <alignment horizontal="right" vertical="center"/>
    </xf>
    <xf numFmtId="166" fontId="7" fillId="9" borderId="7" xfId="0" applyNumberFormat="1" applyFont="1" applyFill="1" applyBorder="1" applyAlignment="1">
      <alignment horizontal="right" vertical="center"/>
    </xf>
    <xf numFmtId="164" fontId="24" fillId="0" borderId="0" xfId="0" applyFont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 wrapText="1"/>
    </xf>
    <xf numFmtId="166" fontId="21" fillId="8" borderId="7" xfId="0" applyNumberFormat="1" applyFont="1" applyFill="1" applyBorder="1" applyAlignment="1">
      <alignment horizontal="right" vertical="center"/>
    </xf>
    <xf numFmtId="166" fontId="6" fillId="8" borderId="7" xfId="0" applyNumberFormat="1" applyFont="1" applyFill="1" applyBorder="1" applyAlignment="1">
      <alignment horizontal="right" vertical="center"/>
    </xf>
    <xf numFmtId="166" fontId="7" fillId="8" borderId="7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CFF0"/>
      <rgbColor rgb="00DD0806"/>
      <rgbColor rgb="0000FF00"/>
      <rgbColor rgb="000000FF"/>
      <rgbColor rgb="00FFFF00"/>
      <rgbColor rgb="00FF00FF"/>
      <rgbColor rgb="0000FFFF"/>
      <rgbColor rgb="00900000"/>
      <rgbColor rgb="00006411"/>
      <rgbColor rgb="00000090"/>
      <rgbColor rgb="00808000"/>
      <rgbColor rgb="009A0494"/>
      <rgbColor rgb="00008080"/>
      <rgbColor rgb="00DDDDDD"/>
      <rgbColor rgb="00808080"/>
      <rgbColor rgb="009999FF"/>
      <rgbColor rgb="00993366"/>
      <rgbColor rgb="00FFFFCC"/>
      <rgbColor rgb="00B4F2FF"/>
      <rgbColor rgb="00660066"/>
      <rgbColor rgb="00FF8080"/>
      <rgbColor rgb="000066CC"/>
      <rgbColor rgb="00CA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zoomScale="90" zoomScaleNormal="90" workbookViewId="0" topLeftCell="C7">
      <selection activeCell="E15" activeCellId="1" sqref="A9:A63 E15"/>
    </sheetView>
  </sheetViews>
  <sheetFormatPr defaultColWidth="11.00390625" defaultRowHeight="12.75"/>
  <cols>
    <col min="1" max="1" width="10.75390625" style="1" customWidth="1"/>
    <col min="2" max="2" width="14.00390625" style="2" customWidth="1"/>
    <col min="3" max="3" width="40.75390625" style="3" customWidth="1"/>
    <col min="4" max="4" width="12.75390625" style="1" customWidth="1"/>
    <col min="5" max="5" width="11.75390625" style="4" customWidth="1"/>
    <col min="6" max="8" width="10.75390625" style="4" customWidth="1"/>
    <col min="9" max="9" width="14.625" style="1" customWidth="1"/>
    <col min="10" max="10" width="17.125" style="1" customWidth="1"/>
    <col min="11" max="11" width="16.875" style="5" customWidth="1"/>
    <col min="12" max="12" width="15.75390625" style="6" customWidth="1"/>
    <col min="13" max="14" width="15.75390625" style="7" customWidth="1"/>
    <col min="15" max="15" width="10.75390625" style="1" customWidth="1"/>
    <col min="16" max="16" width="12.375" style="1" customWidth="1"/>
    <col min="17" max="17" width="14.125" style="1" customWidth="1"/>
    <col min="18" max="18" width="24.75390625" style="1" customWidth="1"/>
    <col min="19" max="19" width="21.25390625" style="1" customWidth="1"/>
    <col min="20" max="20" width="14.125" style="1" customWidth="1"/>
    <col min="21" max="22" width="18.75390625" style="1" customWidth="1"/>
    <col min="23" max="246" width="10.75390625" style="1" customWidth="1"/>
    <col min="247" max="16384" width="10.75390625" style="0" customWidth="1"/>
  </cols>
  <sheetData>
    <row r="1" spans="2:14" s="8" customFormat="1" ht="12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36.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2" s="11" customFormat="1" ht="60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12" t="s">
        <v>2</v>
      </c>
      <c r="Q3" s="12"/>
      <c r="R3" s="12"/>
      <c r="S3" s="12"/>
      <c r="T3" s="12"/>
      <c r="U3" s="12"/>
      <c r="V3" s="12"/>
    </row>
    <row r="4" spans="6:14" ht="61.5" customHeight="1">
      <c r="F4" s="13" t="s">
        <v>3</v>
      </c>
      <c r="G4" s="13"/>
      <c r="H4" s="13"/>
      <c r="I4" s="14" t="s">
        <v>4</v>
      </c>
      <c r="J4" s="14"/>
      <c r="K4" s="14"/>
      <c r="L4" s="14"/>
      <c r="M4" s="14"/>
      <c r="N4" s="14"/>
    </row>
    <row r="5" spans="1:22" ht="78.75" customHeight="1">
      <c r="A5" s="15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8" t="s">
        <v>11</v>
      </c>
      <c r="H5" s="17" t="s">
        <v>12</v>
      </c>
      <c r="I5" s="19" t="s">
        <v>13</v>
      </c>
      <c r="J5" s="19" t="s">
        <v>14</v>
      </c>
      <c r="K5" s="20" t="s">
        <v>15</v>
      </c>
      <c r="L5" s="21" t="s">
        <v>16</v>
      </c>
      <c r="M5" s="22" t="s">
        <v>17</v>
      </c>
      <c r="N5" s="22"/>
      <c r="P5" s="16" t="s">
        <v>8</v>
      </c>
      <c r="Q5" s="23" t="s">
        <v>18</v>
      </c>
      <c r="R5" s="20" t="s">
        <v>15</v>
      </c>
      <c r="S5" s="21" t="s">
        <v>16</v>
      </c>
      <c r="T5" s="24" t="s">
        <v>19</v>
      </c>
      <c r="U5" s="22" t="s">
        <v>17</v>
      </c>
      <c r="V5" s="22"/>
    </row>
    <row r="6" spans="1:22" ht="47.25" customHeight="1">
      <c r="A6" s="25"/>
      <c r="B6" s="26" t="s">
        <v>20</v>
      </c>
      <c r="C6" s="26"/>
      <c r="D6" s="26"/>
      <c r="E6" s="27" t="s">
        <v>21</v>
      </c>
      <c r="F6" s="27"/>
      <c r="G6" s="27"/>
      <c r="H6" s="27"/>
      <c r="I6" s="28" t="s">
        <v>20</v>
      </c>
      <c r="J6" s="28" t="s">
        <v>22</v>
      </c>
      <c r="K6" s="29" t="s">
        <v>23</v>
      </c>
      <c r="L6" s="30" t="s">
        <v>24</v>
      </c>
      <c r="M6" s="31">
        <v>-0.8</v>
      </c>
      <c r="N6" s="31">
        <v>-1.2</v>
      </c>
      <c r="P6" s="32"/>
      <c r="Q6" s="33" t="s">
        <v>25</v>
      </c>
      <c r="R6" s="29" t="s">
        <v>23</v>
      </c>
      <c r="S6" s="30" t="s">
        <v>26</v>
      </c>
      <c r="T6" s="34" t="s">
        <v>27</v>
      </c>
      <c r="U6" s="31">
        <v>-0.8</v>
      </c>
      <c r="V6" s="31">
        <v>-1.2</v>
      </c>
    </row>
    <row r="7" spans="2:22" ht="27.75" customHeight="1">
      <c r="B7" s="35"/>
      <c r="C7" s="36"/>
      <c r="D7" s="37"/>
      <c r="E7" s="38"/>
      <c r="F7" s="39"/>
      <c r="G7" s="39"/>
      <c r="H7" s="39"/>
      <c r="I7" s="19" t="s">
        <v>28</v>
      </c>
      <c r="J7" s="19" t="s">
        <v>29</v>
      </c>
      <c r="K7" s="40" t="s">
        <v>30</v>
      </c>
      <c r="L7" s="41" t="s">
        <v>30</v>
      </c>
      <c r="M7" s="42" t="s">
        <v>30</v>
      </c>
      <c r="N7" s="42" t="s">
        <v>30</v>
      </c>
      <c r="P7" s="43"/>
      <c r="Q7" s="19"/>
      <c r="R7" s="40"/>
      <c r="S7" s="41"/>
      <c r="T7" s="44"/>
      <c r="U7" s="42"/>
      <c r="V7" s="42"/>
    </row>
    <row r="8" spans="2:22" ht="16.5">
      <c r="B8" s="35"/>
      <c r="C8" s="36"/>
      <c r="D8" s="37"/>
      <c r="E8" s="38"/>
      <c r="F8" s="39"/>
      <c r="G8" s="39"/>
      <c r="H8" s="39"/>
      <c r="I8" s="19"/>
      <c r="J8" s="19"/>
      <c r="K8" s="40"/>
      <c r="L8" s="41"/>
      <c r="M8" s="42"/>
      <c r="N8" s="42"/>
      <c r="P8" s="43"/>
      <c r="Q8" s="43"/>
      <c r="R8" s="40"/>
      <c r="S8" s="45"/>
      <c r="T8" s="44"/>
      <c r="U8" s="46"/>
      <c r="V8" s="46"/>
    </row>
    <row r="9" spans="1:22" ht="29.25">
      <c r="A9" s="47" t="s">
        <v>31</v>
      </c>
      <c r="B9" s="47" t="s">
        <v>32</v>
      </c>
      <c r="C9" s="48" t="s">
        <v>33</v>
      </c>
      <c r="D9" s="49" t="s">
        <v>34</v>
      </c>
      <c r="E9" s="50" t="s">
        <v>35</v>
      </c>
      <c r="F9" s="51">
        <v>0.4</v>
      </c>
      <c r="G9" s="51">
        <v>0.9</v>
      </c>
      <c r="H9" s="51">
        <v>0.65</v>
      </c>
      <c r="I9" s="52">
        <v>687.9</v>
      </c>
      <c r="J9" s="53">
        <v>211179</v>
      </c>
      <c r="K9" s="54">
        <f>IF(J9="-",0,I9*J9)</f>
        <v>145270034.1</v>
      </c>
      <c r="L9" s="55">
        <f>IF(H9="-","-",$K9*H9)</f>
        <v>94425522.165</v>
      </c>
      <c r="M9" s="56">
        <f>IF($H9="-","-",(($K9/(-0.8+1)*((1/(1-$H9))^(-0.8+1)-1))))</f>
        <v>169700221.0421466</v>
      </c>
      <c r="N9" s="56">
        <f>IF($H9="-","-",(($K9/(-1.2+1)*((1/(1-$H9))^(-1.2+1)-1))))</f>
        <v>137561219.3815476</v>
      </c>
      <c r="O9" s="57"/>
      <c r="P9" s="58" t="s">
        <v>36</v>
      </c>
      <c r="Q9" s="59">
        <f>SUMIF($D$9:$D$74,$P9,$K$9:$K$74)/SUMIF($D$9:$D$74,$P9,$J$9:$J$74)</f>
        <v>212.9217138482526</v>
      </c>
      <c r="R9" s="60">
        <f>SUMIF($D$9:$D$74,$P9,$K$9:$K$74)</f>
        <v>4642760312.6</v>
      </c>
      <c r="S9" s="61">
        <f>SUMIF($D$9:$D$74,$P9,$L$9:$L$74)</f>
        <v>0</v>
      </c>
      <c r="T9" s="62">
        <f>IF(R9=0,"-",S9/R9)</f>
        <v>0</v>
      </c>
      <c r="U9" s="63">
        <f>SUMIF($D$9:$D$74,$P9,$M$9:$M$74)</f>
        <v>0</v>
      </c>
      <c r="V9" s="63">
        <f>SUMIF($D$9:$D$74,$P9,$N$9:$N$74)</f>
        <v>0</v>
      </c>
    </row>
    <row r="10" spans="1:22" ht="16.5">
      <c r="A10" s="64" t="s">
        <v>37</v>
      </c>
      <c r="B10" s="64" t="s">
        <v>38</v>
      </c>
      <c r="C10" s="65" t="s">
        <v>39</v>
      </c>
      <c r="D10" s="66" t="s">
        <v>40</v>
      </c>
      <c r="E10" s="67" t="s">
        <v>35</v>
      </c>
      <c r="F10" s="68">
        <v>0.4</v>
      </c>
      <c r="G10" s="68">
        <v>0.9</v>
      </c>
      <c r="H10" s="68">
        <v>0.65</v>
      </c>
      <c r="I10" s="69">
        <v>342.2</v>
      </c>
      <c r="J10" s="70">
        <v>670284</v>
      </c>
      <c r="K10" s="71">
        <f>IF(J10="-",0,I10*J10)</f>
        <v>229371184.79999998</v>
      </c>
      <c r="L10" s="72">
        <f>IF(H10="-","-",K10*H10)</f>
        <v>149091270.12</v>
      </c>
      <c r="M10" s="73">
        <f>IF($H10="-","-",(($K10/(-0.8+1)*((1/(1-$H10))^(-0.8+1)-1))))</f>
        <v>267944734.7996393</v>
      </c>
      <c r="N10" s="73">
        <f>IF($H10="-","-",(($K10/(-1.2+1)*((1/(1-$H10))^(-1.2+1)-1))))</f>
        <v>217199507.5760659</v>
      </c>
      <c r="O10" s="57"/>
      <c r="P10" s="66" t="s">
        <v>40</v>
      </c>
      <c r="Q10" s="74">
        <f>SUMIF($D$9:$D$74,$P10,$K$9:$K$74)/SUMIF($D$9:$D$74,$P10,$J$9:$J$74)</f>
        <v>454.4234110751784</v>
      </c>
      <c r="R10" s="75">
        <f>SUMIF($D$9:$D$74,$P10,$K$9:$K$74)</f>
        <v>6926080787.2</v>
      </c>
      <c r="S10" s="76">
        <f>SUMIF($D$9:$D$74,$P10,$L$9:$L$74)</f>
        <v>1237040079.96</v>
      </c>
      <c r="T10" s="77">
        <f>IF(R10=0,"-",S10/R10)</f>
        <v>0.1786060714518603</v>
      </c>
      <c r="U10" s="78">
        <f>SUMIF($D$9:$D$74,$P10,$M$9:$M$74)</f>
        <v>2158993347.54892</v>
      </c>
      <c r="V10" s="78">
        <f>SUMIF($D$9:$D$74,$P10,$N$9:$N$74)</f>
        <v>1758391054.138956</v>
      </c>
    </row>
    <row r="11" spans="1:22" ht="29.25">
      <c r="A11" s="64" t="s">
        <v>41</v>
      </c>
      <c r="B11" s="64" t="s">
        <v>42</v>
      </c>
      <c r="C11" s="65" t="s">
        <v>43</v>
      </c>
      <c r="D11" s="66" t="s">
        <v>40</v>
      </c>
      <c r="E11" s="67" t="s">
        <v>35</v>
      </c>
      <c r="F11" s="68">
        <v>0.4</v>
      </c>
      <c r="G11" s="68">
        <v>0.9</v>
      </c>
      <c r="H11" s="68">
        <v>0.65</v>
      </c>
      <c r="I11" s="69">
        <v>745.8</v>
      </c>
      <c r="J11" s="70">
        <v>86880</v>
      </c>
      <c r="K11" s="71">
        <f>IF(J11="-",0,I11*J11)</f>
        <v>64795103.99999999</v>
      </c>
      <c r="L11" s="72">
        <f>IF(H11="-","-",K11*H11)</f>
        <v>42116817.599999994</v>
      </c>
      <c r="M11" s="73">
        <f>IF($H11="-","-",(($K11/(-0.8+1)*((1/(1-$H11))^(-0.8+1)-1))))</f>
        <v>75691752.53087434</v>
      </c>
      <c r="N11" s="73">
        <f>IF($H11="-","-",(($K11/(-1.2+1)*((1/(1-$H11))^(-1.2+1)-1))))</f>
        <v>61356724.88421474</v>
      </c>
      <c r="O11" s="57"/>
      <c r="P11" s="79" t="s">
        <v>44</v>
      </c>
      <c r="Q11" s="80">
        <f>SUMIF($D$9:$D$74,$P11,$K$9:$K$74)/SUMIF($D$9:$D$74,$P11,$J$9:$J$74)</f>
        <v>396.68141741045855</v>
      </c>
      <c r="R11" s="81">
        <f>SUMIF($D$9:$D$74,$P11,$K$9:$K$74)</f>
        <v>3635219450.3</v>
      </c>
      <c r="S11" s="82">
        <f>SUMIF($D$9:$D$74,$P11,$L$9:$L$74)</f>
        <v>133107781.415</v>
      </c>
      <c r="T11" s="83">
        <f>IF(R11=0,"-",S11/R11)</f>
        <v>0.03661616120699815</v>
      </c>
      <c r="U11" s="84">
        <f>SUMIF($D$9:$D$74,$P11,$M$9:$M$74)</f>
        <v>157650120.25145143</v>
      </c>
      <c r="V11" s="84">
        <f>SUMIF($D$9:$D$74,$P11,$N$9:$N$74)</f>
        <v>148839493.711743</v>
      </c>
    </row>
    <row r="12" spans="1:22" ht="42.75">
      <c r="A12" s="85" t="s">
        <v>45</v>
      </c>
      <c r="B12" s="85" t="s">
        <v>46</v>
      </c>
      <c r="C12" s="86" t="s">
        <v>47</v>
      </c>
      <c r="D12" s="87" t="s">
        <v>48</v>
      </c>
      <c r="E12" s="88" t="s">
        <v>49</v>
      </c>
      <c r="F12" s="89" t="str">
        <f>IF(E12="No aumenta",0,IF(E12="Pequeña",0,IF(E12="Moderada",0.1,IF(E12="Grande",0.4,IF(E12="Esencial",0.9,"-")))))</f>
        <v>-</v>
      </c>
      <c r="G12" s="89" t="str">
        <f>IF(E12="No aumenta",0,IF(E12="Pequeña",0.1,IF(E12="Moderada",0.4,IF(E12="Grande",0.9,IF(E12="Esencial",1,"-")))))</f>
        <v>-</v>
      </c>
      <c r="H12" s="89" t="str">
        <f>IF(F12="-","-",AVERAGE(F12:G12))</f>
        <v>-</v>
      </c>
      <c r="I12" s="90">
        <v>661.2</v>
      </c>
      <c r="J12" s="91">
        <v>182120</v>
      </c>
      <c r="K12" s="92">
        <f>IF(J12="-",0,I12*J12)</f>
        <v>120417744.00000001</v>
      </c>
      <c r="L12" s="93" t="str">
        <f>IF(H12="-","-",K12*H12)</f>
        <v>-</v>
      </c>
      <c r="M12" s="94" t="str">
        <f>IF($H12="-","-",(($K12/(-0.8+1)*((1/(1-$H12))^(-0.8+1)-1))))</f>
        <v>-</v>
      </c>
      <c r="N12" s="94" t="str">
        <f>IF($H12="-","-",(($K12/(-1.2+1)*((1/(1-$H12))^(-1.2+1)-1))))</f>
        <v>-</v>
      </c>
      <c r="O12" s="57"/>
      <c r="P12" s="95" t="s">
        <v>50</v>
      </c>
      <c r="Q12" s="96">
        <f>SUMIF($D$9:$D$74,$P12,$K$9:$K$74)/SUMIF($D$9:$D$74,$P12,$J$9:$J$74)</f>
        <v>347.96105625529356</v>
      </c>
      <c r="R12" s="97">
        <f>SUMIF($D$9:$D$74,$P12,$K$9:$K$74)</f>
        <v>127357226.19999999</v>
      </c>
      <c r="S12" s="98">
        <f>SUMIF($D$9:$D$74,$P12,$L$9:$L$74)</f>
        <v>3838741.23</v>
      </c>
      <c r="T12" s="99">
        <f>IF(R12=0,"-",S12/R12)</f>
        <v>0.03014152666902226</v>
      </c>
      <c r="U12" s="100">
        <f>SUMIF($D$9:$D$74,$P12,$M$9:$M$74)</f>
        <v>4380261.703336637</v>
      </c>
      <c r="V12" s="100">
        <f>SUMIF($D$9:$D$74,$P12,$N$9:$N$74)</f>
        <v>4186570.550670185</v>
      </c>
    </row>
    <row r="13" spans="1:22" ht="42.75">
      <c r="A13" s="85" t="s">
        <v>51</v>
      </c>
      <c r="B13" s="85" t="s">
        <v>52</v>
      </c>
      <c r="C13" s="86" t="s">
        <v>53</v>
      </c>
      <c r="D13" s="87" t="s">
        <v>48</v>
      </c>
      <c r="E13" s="88" t="s">
        <v>49</v>
      </c>
      <c r="F13" s="89" t="str">
        <f>IF(E13="No aumenta",0,IF(E13="Pequeña",0,IF(E13="Moderada",0.1,IF(E13="Grande",0.4,IF(E13="Esencial",0.9,"-")))))</f>
        <v>-</v>
      </c>
      <c r="G13" s="89" t="str">
        <f>IF(E13="No aumenta",0,IF(E13="Pequeña",0.1,IF(E13="Moderada",0.4,IF(E13="Grande",0.9,IF(E13="Esencial",1,"-")))))</f>
        <v>-</v>
      </c>
      <c r="H13" s="89" t="str">
        <f>IF(F13="-","-",AVERAGE(F13:G13))</f>
        <v>-</v>
      </c>
      <c r="I13" s="90">
        <v>1257.3</v>
      </c>
      <c r="J13" s="91">
        <v>58496</v>
      </c>
      <c r="K13" s="92">
        <f>IF(J13="-",0,I13*J13)</f>
        <v>73547020.8</v>
      </c>
      <c r="L13" s="93" t="str">
        <f>IF(H13="-","-",K13*H13)</f>
        <v>-</v>
      </c>
      <c r="M13" s="94" t="str">
        <f>IF($H13="-","-",(($K13/(-0.8+1)*((1/(1-$H13))^(-0.8+1)-1))))</f>
        <v>-</v>
      </c>
      <c r="N13" s="94" t="str">
        <f>IF($H13="-","-",(($K13/(-1.2+1)*((1/(1-$H13))^(-1.2+1)-1))))</f>
        <v>-</v>
      </c>
      <c r="O13" s="57"/>
      <c r="P13" s="101" t="s">
        <v>54</v>
      </c>
      <c r="Q13" s="102">
        <f>SUMIF($D$9:$D$74,$P13,$K$9:$K$74)/SUMIF($D$9:$D$74,$P13,$J$9:$J$74)</f>
        <v>215.062671378931</v>
      </c>
      <c r="R13" s="103">
        <f>SUMIF($D$9:$D$74,$P13,$K$9:$K$74)</f>
        <v>532514960.09999996</v>
      </c>
      <c r="S13" s="104">
        <f>SUMIF($D$9:$D$74,$P13,$L$9:$L$74)</f>
        <v>0</v>
      </c>
      <c r="T13" s="105">
        <f>IF(R13=0,"-",S13/R13)</f>
        <v>0</v>
      </c>
      <c r="U13" s="106">
        <f>SUMIF($D$9:$D$74,$P13,$M$9:$M$74)</f>
        <v>0</v>
      </c>
      <c r="V13" s="106">
        <f>SUMIF($D$9:$D$74,$P13,$N$9:$N$74)</f>
        <v>0</v>
      </c>
    </row>
    <row r="14" spans="1:22" ht="16.5">
      <c r="A14" s="64" t="s">
        <v>55</v>
      </c>
      <c r="B14" s="64" t="s">
        <v>56</v>
      </c>
      <c r="C14" s="65" t="s">
        <v>57</v>
      </c>
      <c r="D14" s="66" t="s">
        <v>40</v>
      </c>
      <c r="E14" s="67" t="s">
        <v>35</v>
      </c>
      <c r="F14" s="68">
        <v>0.4</v>
      </c>
      <c r="G14" s="68">
        <v>0.9</v>
      </c>
      <c r="H14" s="68">
        <v>0.65</v>
      </c>
      <c r="I14" s="69">
        <v>1312.2</v>
      </c>
      <c r="J14" s="70">
        <v>98535</v>
      </c>
      <c r="K14" s="71">
        <f>IF(J14="-",0,I14*J14)</f>
        <v>129297627</v>
      </c>
      <c r="L14" s="72">
        <f>IF(H14="-","-",K14*H14)</f>
        <v>84043457.55</v>
      </c>
      <c r="M14" s="73">
        <f>IF($H14="-","-",(($K14/(-0.8+1)*((1/(1-$H14))^(-0.8+1)-1))))</f>
        <v>151041720.46260312</v>
      </c>
      <c r="N14" s="73">
        <f>IF($H14="-","-",(($K14/(-1.2+1)*((1/(1-$H14))^(-1.2+1)-1))))</f>
        <v>122436394.70076033</v>
      </c>
      <c r="O14" s="57"/>
      <c r="P14" s="107" t="s">
        <v>58</v>
      </c>
      <c r="Q14" s="108">
        <f>SUMIF($D$9:$D$74,$P14,$K$9:$K$74)/SUMIF($D$9:$D$74,$P14,$J$9:$J$74)</f>
        <v>3476.9</v>
      </c>
      <c r="R14" s="109">
        <f>SUMIF($D$9:$D$74,$P14,$K$9:$K$74)</f>
        <v>19672300.2</v>
      </c>
      <c r="S14" s="110">
        <f>SUMIF($D$9:$D$74,$P14,$L$9:$L$74)</f>
        <v>983615.01</v>
      </c>
      <c r="T14" s="111">
        <f>IF(R14=0,"-",S14/R14)</f>
        <v>0.05</v>
      </c>
      <c r="U14" s="112">
        <f>SUMIF($D$9:$D$74,$P14,$M$9:$M$74)</f>
        <v>1014250.61601263</v>
      </c>
      <c r="V14" s="112">
        <f>SUMIF($D$9:$D$74,$P14,$N$9:$N$74)</f>
        <v>1003898.9528014986</v>
      </c>
    </row>
    <row r="15" spans="1:22" ht="29.25">
      <c r="A15" s="64" t="s">
        <v>59</v>
      </c>
      <c r="B15" s="64" t="s">
        <v>60</v>
      </c>
      <c r="C15" s="65" t="s">
        <v>61</v>
      </c>
      <c r="D15" s="66" t="s">
        <v>40</v>
      </c>
      <c r="E15" s="67" t="s">
        <v>62</v>
      </c>
      <c r="F15" s="68" t="s">
        <v>63</v>
      </c>
      <c r="G15" s="68" t="s">
        <v>63</v>
      </c>
      <c r="H15" s="68" t="s">
        <v>63</v>
      </c>
      <c r="I15" s="69">
        <v>580.2</v>
      </c>
      <c r="J15" s="70">
        <v>346509</v>
      </c>
      <c r="K15" s="71">
        <f>IF(J15="-",0,I15*J15)</f>
        <v>201044521.8</v>
      </c>
      <c r="L15" s="72" t="str">
        <f>IF(H15="-","-",K15*H15)</f>
        <v>-</v>
      </c>
      <c r="M15" s="73" t="str">
        <f>IF($H15="-","-",(($K15/(-0.8+1)*((1/(1-$H15))^(-0.8+1)-1))))</f>
        <v>-</v>
      </c>
      <c r="N15" s="73" t="str">
        <f>IF($H15="-","-",(($K15/(-1.2+1)*((1/(1-$H15))^(-1.2+1)-1))))</f>
        <v>-</v>
      </c>
      <c r="O15" s="57"/>
      <c r="P15" s="113" t="s">
        <v>64</v>
      </c>
      <c r="Q15" s="114">
        <f>SUMIF($D$9:$D$74,$P15,$K$9:$K$74)/SUMIF($D$9:$D$74,$P15,$J$9:$J$74)</f>
        <v>31.2</v>
      </c>
      <c r="R15" s="115">
        <f>SUMIF($D$9:$D$74,$P15,$K$9:$K$74)</f>
        <v>130682292</v>
      </c>
      <c r="S15" s="116">
        <f>SUMIF($D$9:$D$74,$P15,$L$9:$L$74)</f>
        <v>0</v>
      </c>
      <c r="T15" s="117">
        <f>IF(R15=0,"-",S15/R15)</f>
        <v>0</v>
      </c>
      <c r="U15" s="118">
        <f>SUMIF($D$9:$D$74,$P15,$M$9:$M$74)</f>
        <v>0</v>
      </c>
      <c r="V15" s="118">
        <f>SUMIF($D$9:$D$74,$P15,$N$9:$N$74)</f>
        <v>0</v>
      </c>
    </row>
    <row r="16" spans="1:22" ht="16.5">
      <c r="A16" s="119" t="s">
        <v>65</v>
      </c>
      <c r="B16" s="119" t="s">
        <v>66</v>
      </c>
      <c r="C16" s="120" t="s">
        <v>67</v>
      </c>
      <c r="D16" s="121" t="s">
        <v>36</v>
      </c>
      <c r="E16" s="122" t="s">
        <v>68</v>
      </c>
      <c r="F16" s="123">
        <v>0</v>
      </c>
      <c r="G16" s="123">
        <v>0</v>
      </c>
      <c r="H16" s="123">
        <v>0</v>
      </c>
      <c r="I16" s="124">
        <v>194.8</v>
      </c>
      <c r="J16" s="125">
        <v>8287073</v>
      </c>
      <c r="K16" s="126">
        <f>IF(J16="-",0,I16*J16)</f>
        <v>1614321820.4</v>
      </c>
      <c r="L16" s="127">
        <f>IF(H16="-","-",K16*H16)</f>
        <v>0</v>
      </c>
      <c r="M16" s="128">
        <f>IF($H16="-","-",(($K16/(-0.8+1)*((1/(1-$H16))^(-0.8+1)-1))))</f>
        <v>0</v>
      </c>
      <c r="N16" s="128">
        <f>IF($H16="-","-",(($K16/(-1.2+1)*((1/(1-$H16))^(-1.2+1)-1))))</f>
        <v>0</v>
      </c>
      <c r="O16" s="57"/>
      <c r="P16" s="49" t="s">
        <v>34</v>
      </c>
      <c r="Q16" s="129">
        <f>SUMIF($D$9:$D$74,$P16,$K$9:$K$74)/SUMIF($D$9:$D$74,$P16,$J$9:$J$74)</f>
        <v>1123.447355113512</v>
      </c>
      <c r="R16" s="130">
        <f>SUMIF($D$9:$D$74,$P16,$K$9:$K$74)</f>
        <v>462098613</v>
      </c>
      <c r="S16" s="131">
        <f>SUMIF($D$9:$D$74,$P16,$L$9:$L$74)</f>
        <v>159085923.76500002</v>
      </c>
      <c r="T16" s="132">
        <f>IF(R16=0,"-",S16/R16)</f>
        <v>0.34426834292402436</v>
      </c>
      <c r="U16" s="133">
        <f>SUMIF($D$9:$D$74,$P16,$M$9:$M$74)</f>
        <v>246288967.9723618</v>
      </c>
      <c r="V16" s="133">
        <f>SUMIF($D$9:$D$74,$P16,$N$9:$N$74)</f>
        <v>209867698.86408967</v>
      </c>
    </row>
    <row r="17" spans="1:22" ht="42.75">
      <c r="A17" s="134" t="s">
        <v>69</v>
      </c>
      <c r="B17" s="134" t="s">
        <v>70</v>
      </c>
      <c r="C17" s="135" t="s">
        <v>71</v>
      </c>
      <c r="D17" s="95" t="s">
        <v>50</v>
      </c>
      <c r="E17" s="136" t="s">
        <v>72</v>
      </c>
      <c r="F17" s="137">
        <v>0</v>
      </c>
      <c r="G17" s="137">
        <v>0.1</v>
      </c>
      <c r="H17" s="137">
        <v>0.05</v>
      </c>
      <c r="I17" s="138">
        <v>1857.6</v>
      </c>
      <c r="J17" s="139">
        <v>11701</v>
      </c>
      <c r="K17" s="140">
        <f>IF(J17="-",0,I17*J17)</f>
        <v>21735777.599999998</v>
      </c>
      <c r="L17" s="141">
        <f>IF(H17="-","-",K17*H17)</f>
        <v>1086788.88</v>
      </c>
      <c r="M17" s="142">
        <f>IF($H17="-","-",(($K17/(-0.8+1)*((1/(1-$H17))^(-0.8+1)-1))))</f>
        <v>1120637.9323305327</v>
      </c>
      <c r="N17" s="142">
        <f>IF($H17="-","-",(($K17/(-1.2+1)*((1/(1-$H17))^(-1.2+1)-1))))</f>
        <v>1109200.4569433252</v>
      </c>
      <c r="O17" s="57"/>
      <c r="P17" s="87" t="s">
        <v>48</v>
      </c>
      <c r="Q17" s="143">
        <f>SUMIF($D$9:$D$74,$P17,$K$9:$K$74)/SUMIF($D$9:$D$74,$P17,$J$9:$J$74)</f>
        <v>432.2993448638652</v>
      </c>
      <c r="R17" s="144">
        <f>SUMIF($D$9:$D$74,$P17,$K$9:$K$74)</f>
        <v>5176880192.900001</v>
      </c>
      <c r="S17" s="145">
        <f>SUMIF($D$9:$D$74,$P17,$L$9:$L$74)</f>
        <v>867283524.49</v>
      </c>
      <c r="T17" s="146">
        <f>IF(R17=0,"-",S17/R17)</f>
        <v>0.16753015178513575</v>
      </c>
      <c r="U17" s="147">
        <f>SUMIF($D$9:$D$74,$P17,$M$9:$M$74)</f>
        <v>2792758859.5681057</v>
      </c>
      <c r="V17" s="147">
        <f>SUMIF($D$9:$D$74,$P17,$N$9:$N$74)</f>
        <v>1687723782.9977727</v>
      </c>
    </row>
    <row r="18" spans="1:22" ht="29.25">
      <c r="A18" s="85" t="s">
        <v>73</v>
      </c>
      <c r="B18" s="85" t="s">
        <v>74</v>
      </c>
      <c r="C18" s="86" t="s">
        <v>75</v>
      </c>
      <c r="D18" s="87" t="s">
        <v>48</v>
      </c>
      <c r="E18" s="88" t="s">
        <v>72</v>
      </c>
      <c r="F18" s="89">
        <v>0</v>
      </c>
      <c r="G18" s="89">
        <v>0.1</v>
      </c>
      <c r="H18" s="89">
        <v>0.05</v>
      </c>
      <c r="I18" s="90">
        <v>1536</v>
      </c>
      <c r="J18" s="91">
        <v>152507</v>
      </c>
      <c r="K18" s="92">
        <f>IF(J18="-",0,I18*J18)</f>
        <v>234250752</v>
      </c>
      <c r="L18" s="93">
        <f>IF(H18="-","-",K18*H18)</f>
        <v>11712537.600000001</v>
      </c>
      <c r="M18" s="94">
        <f>IF($H18="-","-",(($K18/(-0.8+1)*((1/(1-$H18))^(-0.8+1)-1))))</f>
        <v>12077335.497219682</v>
      </c>
      <c r="N18" s="94">
        <f>IF($H18="-","-",(($K18/(-1.2+1)*((1/(1-$H18))^(-1.2+1)-1))))</f>
        <v>11954071.574495573</v>
      </c>
      <c r="O18" s="57"/>
      <c r="P18" s="57"/>
      <c r="Q18" s="57"/>
      <c r="R18" s="148"/>
      <c r="S18" s="149"/>
      <c r="T18" s="150"/>
      <c r="U18" s="151"/>
      <c r="V18" s="151"/>
    </row>
    <row r="19" spans="1:22" ht="42.75">
      <c r="A19" s="134" t="s">
        <v>76</v>
      </c>
      <c r="B19" s="134" t="s">
        <v>77</v>
      </c>
      <c r="C19" s="135" t="s">
        <v>78</v>
      </c>
      <c r="D19" s="95" t="s">
        <v>50</v>
      </c>
      <c r="E19" s="136" t="s">
        <v>79</v>
      </c>
      <c r="F19" s="137">
        <v>0.1</v>
      </c>
      <c r="G19" s="137">
        <v>0.4</v>
      </c>
      <c r="H19" s="137">
        <v>0.25</v>
      </c>
      <c r="I19" s="138">
        <v>256.7</v>
      </c>
      <c r="J19" s="139">
        <v>42882</v>
      </c>
      <c r="K19" s="140">
        <f>IF(J19="-",0,I19*J19)</f>
        <v>11007809.4</v>
      </c>
      <c r="L19" s="141">
        <f>IF(H19="-","-",K19*H19)</f>
        <v>2751952.35</v>
      </c>
      <c r="M19" s="142">
        <f>IF($H19="-","-",(($K19/(-0.8+1)*((1/(1-$H19))^(-0.8+1)-1))))</f>
        <v>3259623.7710061036</v>
      </c>
      <c r="N19" s="142">
        <f>IF($H19="-","-",(($K19/(-1.2+1)*((1/(1-$H19))^(-1.2+1)-1))))</f>
        <v>3077370.09372686</v>
      </c>
      <c r="O19" s="57"/>
      <c r="P19" s="152" t="s">
        <v>80</v>
      </c>
      <c r="Q19" s="152"/>
      <c r="R19" s="153">
        <f>SUM(R9:R17)</f>
        <v>21653266134.5</v>
      </c>
      <c r="S19" s="154">
        <f>SUM(S9:S17)</f>
        <v>2401339665.87</v>
      </c>
      <c r="T19" s="155">
        <f>IF(R19=0,"-",S19/R19)</f>
        <v>0.1108996513945747</v>
      </c>
      <c r="U19" s="156">
        <f>SUM(U9:U17)</f>
        <v>5361085807.660189</v>
      </c>
      <c r="V19" s="156">
        <f>SUM(V9:V17)</f>
        <v>3810012499.216033</v>
      </c>
    </row>
    <row r="20" spans="1:22" ht="42.75">
      <c r="A20" s="85" t="s">
        <v>81</v>
      </c>
      <c r="B20" s="85" t="s">
        <v>82</v>
      </c>
      <c r="C20" s="86" t="s">
        <v>83</v>
      </c>
      <c r="D20" s="87" t="s">
        <v>48</v>
      </c>
      <c r="E20" s="88" t="s">
        <v>49</v>
      </c>
      <c r="F20" s="89" t="str">
        <f>IF(E20="No aumenta",0,IF(E20="Pequeña",0,IF(E20="Moderada",0.1,IF(E20="Grande",0.4,IF(E20="Esencial",0.9,"-")))))</f>
        <v>-</v>
      </c>
      <c r="G20" s="89" t="str">
        <f>IF(E20="No aumenta",0,IF(E20="Pequeña",0.1,IF(E20="Moderada",0.4,IF(E20="Grande",0.9,IF(E20="Esencial",1,"-")))))</f>
        <v>-</v>
      </c>
      <c r="H20" s="89" t="str">
        <f>IF(F20="-","-",AVERAGE(F20:G20))</f>
        <v>-</v>
      </c>
      <c r="I20" s="90">
        <v>247</v>
      </c>
      <c r="J20" s="91">
        <v>213127</v>
      </c>
      <c r="K20" s="92">
        <f>IF(J20="-",0,I20*J20)</f>
        <v>52642369</v>
      </c>
      <c r="L20" s="93" t="str">
        <f>IF(H20="-","-",K20*H20)</f>
        <v>-</v>
      </c>
      <c r="M20" s="94" t="str">
        <f>IF($H20="-","-",(($K20/(-0.8+1)*((1/(1-$H20))^(-0.8+1)-1))))</f>
        <v>-</v>
      </c>
      <c r="N20" s="94" t="str">
        <f>IF($H20="-","-",(($K20/(-1.2+1)*((1/(1-$H20))^(-1.2+1)-1))))</f>
        <v>-</v>
      </c>
      <c r="O20" s="57"/>
      <c r="P20"/>
      <c r="Q20"/>
      <c r="R20"/>
      <c r="S20"/>
      <c r="T20"/>
      <c r="U20"/>
      <c r="V20"/>
    </row>
    <row r="21" spans="1:22" ht="42.75">
      <c r="A21" s="85" t="s">
        <v>84</v>
      </c>
      <c r="B21" s="85" t="s">
        <v>85</v>
      </c>
      <c r="C21" s="86" t="s">
        <v>86</v>
      </c>
      <c r="D21" s="87" t="s">
        <v>48</v>
      </c>
      <c r="E21" s="88" t="s">
        <v>49</v>
      </c>
      <c r="F21" s="89" t="str">
        <f>IF(E21="No aumenta",0,IF(E21="Pequeña",0,IF(E21="Moderada",0.1,IF(E21="Grande",0.4,IF(E21="Esencial",0.9,"-")))))</f>
        <v>-</v>
      </c>
      <c r="G21" s="89" t="str">
        <f>IF(E21="No aumenta",0,IF(E21="Pequeña",0.1,IF(E21="Moderada",0.4,IF(E21="Grande",0.9,IF(E21="Esencial",1,"-")))))</f>
        <v>-</v>
      </c>
      <c r="H21" s="89" t="str">
        <f>IF(F21="-","-",AVERAGE(F21:G21))</f>
        <v>-</v>
      </c>
      <c r="I21" s="90">
        <v>283.4</v>
      </c>
      <c r="J21" s="91">
        <v>400628</v>
      </c>
      <c r="K21" s="92">
        <f>IF(J21="-",0,I21*J21)</f>
        <v>113537975.19999999</v>
      </c>
      <c r="L21" s="93" t="str">
        <f>IF(H21="-","-",K21*H21)</f>
        <v>-</v>
      </c>
      <c r="M21" s="94" t="str">
        <f>IF($H21="-","-",(($K21/(-0.8+1)*((1/(1-$H21))^(-0.8+1)-1))))</f>
        <v>-</v>
      </c>
      <c r="N21" s="94" t="str">
        <f>IF($H21="-","-",(($K21/(-1.2+1)*((1/(1-$H21))^(-1.2+1)-1))))</f>
        <v>-</v>
      </c>
      <c r="O21" s="57"/>
      <c r="P21"/>
      <c r="Q21"/>
      <c r="R21"/>
      <c r="S21"/>
      <c r="T21"/>
      <c r="U21"/>
      <c r="V21"/>
    </row>
    <row r="22" spans="1:22" ht="42.75">
      <c r="A22" s="85" t="s">
        <v>87</v>
      </c>
      <c r="B22" s="85" t="s">
        <v>88</v>
      </c>
      <c r="C22" s="86" t="s">
        <v>83</v>
      </c>
      <c r="D22" s="87" t="s">
        <v>48</v>
      </c>
      <c r="E22" s="88" t="s">
        <v>49</v>
      </c>
      <c r="F22" s="89" t="str">
        <f>IF(E22="No aumenta",0,IF(E22="Pequeña",0,IF(E22="Moderada",0.1,IF(E22="Grande",0.4,IF(E22="Esencial",0.9,"-")))))</f>
        <v>-</v>
      </c>
      <c r="G22" s="89" t="str">
        <f>IF(E22="No aumenta",0,IF(E22="Pequeña",0.1,IF(E22="Moderada",0.4,IF(E22="Grande",0.9,IF(E22="Esencial",1,"-")))))</f>
        <v>-</v>
      </c>
      <c r="H22" s="89" t="str">
        <f>IF(F22="-","-",AVERAGE(F22:G22))</f>
        <v>-</v>
      </c>
      <c r="I22" s="90">
        <v>325.3</v>
      </c>
      <c r="J22" s="91">
        <v>513783</v>
      </c>
      <c r="K22" s="92">
        <f>IF(J22="-",0,I22*J22)</f>
        <v>167133609.9</v>
      </c>
      <c r="L22" s="93" t="str">
        <f>IF(H22="-","-",K22*H22)</f>
        <v>-</v>
      </c>
      <c r="M22" s="94" t="str">
        <f>IF($H22="-","-",(($K22/(-0.8+1)*((1/(1-$H22))^(-0.8+1)-1))))</f>
        <v>-</v>
      </c>
      <c r="N22" s="94" t="str">
        <f>IF($H22="-","-",(($K22/(-1.2+1)*((1/(1-$H22))^(-1.2+1)-1))))</f>
        <v>-</v>
      </c>
      <c r="O22" s="57"/>
      <c r="P22"/>
      <c r="Q22"/>
      <c r="R22"/>
      <c r="S22"/>
      <c r="T22"/>
      <c r="U22"/>
      <c r="V22"/>
    </row>
    <row r="23" spans="1:22" ht="16.5">
      <c r="A23" s="64" t="s">
        <v>89</v>
      </c>
      <c r="B23" s="64" t="s">
        <v>90</v>
      </c>
      <c r="C23" s="65" t="s">
        <v>91</v>
      </c>
      <c r="D23" s="66" t="s">
        <v>40</v>
      </c>
      <c r="E23" s="67" t="s">
        <v>35</v>
      </c>
      <c r="F23" s="68">
        <f>IF(E23="No aumenta",0,IF(E23="Pequeña",0,IF(E23="Moderada",0.1,IF(E23="Grande",0.4,IF(E23="Esencial",0.9,"-")))))</f>
        <v>0.4</v>
      </c>
      <c r="G23" s="68">
        <f>IF(E23="No aumenta",0,IF(E23="Pequeña",0.1,IF(E23="Moderada",0.4,IF(E23="Grande",0.9,IF(E23="Esencial",1,"-")))))</f>
        <v>0.9</v>
      </c>
      <c r="H23" s="68">
        <f>IF(F23="-","-",AVERAGE(F23:G23))</f>
        <v>0.65</v>
      </c>
      <c r="I23" s="69">
        <v>1344.2</v>
      </c>
      <c r="J23" s="70">
        <v>101945</v>
      </c>
      <c r="K23" s="71">
        <f>IF(J23="-",0,I23*J23)</f>
        <v>137034469</v>
      </c>
      <c r="L23" s="72">
        <f>IF(H23="-","-",K23*H23)</f>
        <v>89072404.85000001</v>
      </c>
      <c r="M23" s="73">
        <f>IF($H23="-","-",(($K23/(-0.8+1)*((1/(1-$H23))^(-0.8+1)-1))))</f>
        <v>160079673.85541618</v>
      </c>
      <c r="N23" s="73">
        <f>IF($H23="-","-",(($K23/(-1.2+1)*((1/(1-$H23))^(-1.2+1)-1))))</f>
        <v>129762677.96541314</v>
      </c>
      <c r="O23" s="57"/>
      <c r="P23"/>
      <c r="Q23"/>
      <c r="R23"/>
      <c r="S23"/>
      <c r="T23"/>
      <c r="U23"/>
      <c r="V23"/>
    </row>
    <row r="24" spans="1:22" ht="16.5">
      <c r="A24" s="47" t="s">
        <v>92</v>
      </c>
      <c r="B24" s="47" t="s">
        <v>93</v>
      </c>
      <c r="C24" s="48" t="s">
        <v>94</v>
      </c>
      <c r="D24" s="49" t="s">
        <v>34</v>
      </c>
      <c r="E24" s="50" t="s">
        <v>79</v>
      </c>
      <c r="F24" s="51">
        <f>IF(E24="No aumenta",0,IF(E24="Pequeña",0,IF(E24="Moderada",0.1,IF(E24="Grande",0.4,IF(E24="Esencial",0.9,"-")))))</f>
        <v>0.1</v>
      </c>
      <c r="G24" s="51">
        <f>IF(E24="No aumenta",0,IF(E24="Pequeña",0.1,IF(E24="Moderada",0.4,IF(E24="Grande",0.9,IF(E24="Esencial",1,"-")))))</f>
        <v>0.4</v>
      </c>
      <c r="H24" s="51">
        <f>IF(F24="-","-",AVERAGE(F24:G24))</f>
        <v>0.25</v>
      </c>
      <c r="I24" s="157">
        <v>1532.8</v>
      </c>
      <c r="J24" s="158">
        <v>168738</v>
      </c>
      <c r="K24" s="54">
        <f>IF(J24="-",0,I24*J24)</f>
        <v>258641606.4</v>
      </c>
      <c r="L24" s="55">
        <f>IF(H24="-","-",K24*H24)</f>
        <v>64660401.6</v>
      </c>
      <c r="M24" s="56">
        <f>IF($H24="-","-",(($K24/(-0.8+1)*((1/(1-$H24))^(-0.8+1)-1))))</f>
        <v>76588746.93021522</v>
      </c>
      <c r="N24" s="56">
        <f>IF($H24="-","-",(($K24/(-1.2+1)*((1/(1-$H24))^(-1.2+1)-1))))</f>
        <v>72306479.48254205</v>
      </c>
      <c r="O24" s="57"/>
      <c r="P24"/>
      <c r="Q24"/>
      <c r="R24"/>
      <c r="S24"/>
      <c r="T24"/>
      <c r="U24"/>
      <c r="V24"/>
    </row>
    <row r="25" spans="1:22" ht="16.5">
      <c r="A25" s="134" t="s">
        <v>95</v>
      </c>
      <c r="B25" s="134" t="s">
        <v>96</v>
      </c>
      <c r="C25" s="135" t="s">
        <v>97</v>
      </c>
      <c r="D25" s="95" t="s">
        <v>50</v>
      </c>
      <c r="E25" s="136" t="s">
        <v>68</v>
      </c>
      <c r="F25" s="137">
        <v>0</v>
      </c>
      <c r="G25" s="137">
        <v>0</v>
      </c>
      <c r="H25" s="137">
        <v>0</v>
      </c>
      <c r="I25" s="138">
        <v>652.7</v>
      </c>
      <c r="J25" s="139">
        <v>32408</v>
      </c>
      <c r="K25" s="140">
        <f>IF(J25="-",0,I25*J25)</f>
        <v>21152701.6</v>
      </c>
      <c r="L25" s="141">
        <f>IF(H25="-","-",K25*H25)</f>
        <v>0</v>
      </c>
      <c r="M25" s="142">
        <f>IF($H25="-","-",(($K25/(-0.8+1)*((1/(1-$H25))^(-0.8+1)-1))))</f>
        <v>0</v>
      </c>
      <c r="N25" s="142">
        <f>IF($H25="-","-",(($K25/(-1.2+1)*((1/(1-$H25))^(-1.2+1)-1))))</f>
        <v>0</v>
      </c>
      <c r="O25" s="57"/>
      <c r="P25"/>
      <c r="Q25"/>
      <c r="R25"/>
      <c r="S25"/>
      <c r="T25"/>
      <c r="U25"/>
      <c r="V25"/>
    </row>
    <row r="26" spans="1:22" ht="42.75">
      <c r="A26" s="159" t="s">
        <v>98</v>
      </c>
      <c r="B26" s="159" t="s">
        <v>99</v>
      </c>
      <c r="C26" s="160" t="s">
        <v>100</v>
      </c>
      <c r="D26" s="161" t="s">
        <v>58</v>
      </c>
      <c r="E26" s="162" t="s">
        <v>72</v>
      </c>
      <c r="F26" s="163">
        <v>0</v>
      </c>
      <c r="G26" s="163">
        <v>0.1</v>
      </c>
      <c r="H26" s="163">
        <v>0.05</v>
      </c>
      <c r="I26" s="164">
        <v>3476.9</v>
      </c>
      <c r="J26" s="165">
        <v>5658</v>
      </c>
      <c r="K26" s="166">
        <f>IF(J26="-",0,I26*J26)</f>
        <v>19672300.2</v>
      </c>
      <c r="L26" s="167">
        <f>IF(H26="-","-",K26*H26)</f>
        <v>983615.01</v>
      </c>
      <c r="M26" s="168">
        <f>IF($H26="-","-",(($K26/(-0.8+1)*((1/(1-$H26))^(-0.8+1)-1))))</f>
        <v>1014250.61601263</v>
      </c>
      <c r="N26" s="168">
        <f>IF($H26="-","-",(($K26/(-1.2+1)*((1/(1-$H26))^(-1.2+1)-1))))</f>
        <v>1003898.9528014986</v>
      </c>
      <c r="O26" s="57"/>
      <c r="P26"/>
      <c r="Q26"/>
      <c r="R26"/>
      <c r="S26"/>
      <c r="T26"/>
      <c r="U26"/>
      <c r="V26"/>
    </row>
    <row r="27" spans="1:22" ht="29.25">
      <c r="A27" s="85" t="s">
        <v>101</v>
      </c>
      <c r="B27" s="85" t="s">
        <v>102</v>
      </c>
      <c r="C27" s="86" t="s">
        <v>100</v>
      </c>
      <c r="D27" s="87" t="s">
        <v>48</v>
      </c>
      <c r="E27" s="88" t="s">
        <v>72</v>
      </c>
      <c r="F27" s="89">
        <v>0</v>
      </c>
      <c r="G27" s="89">
        <v>0.1</v>
      </c>
      <c r="H27" s="89">
        <v>0.05</v>
      </c>
      <c r="I27" s="90">
        <v>708.5</v>
      </c>
      <c r="J27" s="91">
        <v>921089</v>
      </c>
      <c r="K27" s="92">
        <f>IF(J27="-",0,I27*J27)</f>
        <v>652591556.5</v>
      </c>
      <c r="L27" s="93">
        <f>IF(H27="-","-",K27*H27)</f>
        <v>32629577.825000003</v>
      </c>
      <c r="M27" s="94">
        <f>IF($H27="-","-",(($K27/(-0.8+1)*((1/(1-$H27))^(-0.8+1)-1))))</f>
        <v>33645856.430391714</v>
      </c>
      <c r="N27" s="94">
        <f>IF($H27="-","-",(($K27/(-1.2+1)*((1/(1-$H27))^(-1.2+1)-1))))</f>
        <v>33302459.47433489</v>
      </c>
      <c r="O27" s="57"/>
      <c r="P27"/>
      <c r="Q27"/>
      <c r="R27"/>
      <c r="S27"/>
      <c r="T27"/>
      <c r="U27"/>
      <c r="V27"/>
    </row>
    <row r="28" spans="1:22" ht="29.25">
      <c r="A28" s="85" t="s">
        <v>103</v>
      </c>
      <c r="B28" s="85" t="s">
        <v>104</v>
      </c>
      <c r="C28" s="86" t="s">
        <v>105</v>
      </c>
      <c r="D28" s="87" t="s">
        <v>48</v>
      </c>
      <c r="E28" s="88" t="s">
        <v>35</v>
      </c>
      <c r="F28" s="89">
        <v>0.4</v>
      </c>
      <c r="G28" s="89">
        <v>0.9</v>
      </c>
      <c r="H28" s="89">
        <v>0.65</v>
      </c>
      <c r="I28" s="90">
        <v>371.5</v>
      </c>
      <c r="J28" s="91">
        <v>720198</v>
      </c>
      <c r="K28" s="92">
        <f>IF(J28="-",0,I28*J28)</f>
        <v>267553557</v>
      </c>
      <c r="L28" s="93">
        <f>IF(H28="-","-",K28*H28)</f>
        <v>173909812.05</v>
      </c>
      <c r="M28" s="94">
        <f>IF($H28="-","-",(($K28/(-0.8+1)*((1/(1-$H28))^(-0.8+1)-1))))</f>
        <v>312548269.46800154</v>
      </c>
      <c r="N28" s="94">
        <f>IF($H28="-","-",(($K28/(-1.2+1)*((1/(1-$H28))^(-1.2+1)-1))))</f>
        <v>253355716.33069783</v>
      </c>
      <c r="O28" s="57"/>
      <c r="P28"/>
      <c r="Q28"/>
      <c r="R28"/>
      <c r="S28"/>
      <c r="T28"/>
      <c r="U28"/>
      <c r="V28"/>
    </row>
    <row r="29" spans="1:22" ht="29.25">
      <c r="A29" s="85" t="s">
        <v>106</v>
      </c>
      <c r="B29" s="85" t="s">
        <v>107</v>
      </c>
      <c r="C29" s="86" t="s">
        <v>108</v>
      </c>
      <c r="D29" s="87" t="s">
        <v>48</v>
      </c>
      <c r="E29" s="88" t="s">
        <v>79</v>
      </c>
      <c r="F29" s="89">
        <v>0.1</v>
      </c>
      <c r="G29" s="89">
        <v>0.4</v>
      </c>
      <c r="H29" s="89">
        <v>0.25</v>
      </c>
      <c r="I29" s="90">
        <v>524.4</v>
      </c>
      <c r="J29" s="91">
        <v>215769</v>
      </c>
      <c r="K29" s="92">
        <f>IF(J29="-",0,I29*J29)</f>
        <v>113149263.6</v>
      </c>
      <c r="L29" s="93">
        <f>IF(H29="-","-",K29*H29)</f>
        <v>28287315.9</v>
      </c>
      <c r="M29" s="94">
        <f>IF($H29="-","-",(($K29/(-0.8+1)*((1/(1-$H29))^(-0.8+1)-1))))</f>
        <v>33505670.011182755</v>
      </c>
      <c r="N29" s="94">
        <f>IF($H29="-","-",(($K29/(-1.2+1)*((1/(1-$H29))^(-1.2+1)-1))))</f>
        <v>31632284.615125798</v>
      </c>
      <c r="O29" s="57"/>
      <c r="P29"/>
      <c r="Q29"/>
      <c r="R29"/>
      <c r="S29"/>
      <c r="T29"/>
      <c r="U29"/>
      <c r="V29"/>
    </row>
    <row r="30" spans="1:22" ht="16.5">
      <c r="A30" s="64" t="s">
        <v>109</v>
      </c>
      <c r="B30" s="64" t="s">
        <v>110</v>
      </c>
      <c r="C30" s="65" t="s">
        <v>111</v>
      </c>
      <c r="D30" s="66" t="s">
        <v>40</v>
      </c>
      <c r="E30" s="67" t="s">
        <v>79</v>
      </c>
      <c r="F30" s="68">
        <f>IF(E30="No aumenta",0,IF(E30="Pequeña",0,IF(E30="Moderada",0.1,IF(E30="Grande",0.4,IF(E30="Esencial",0.9,"-")))))</f>
        <v>0.1</v>
      </c>
      <c r="G30" s="68">
        <f>IF(E30="No aumenta",0,IF(E30="Pequeña",0.1,IF(E30="Moderada",0.4,IF(E30="Grande",0.9,IF(E30="Esencial",1,"-")))))</f>
        <v>0.4</v>
      </c>
      <c r="H30" s="68">
        <f>IF(F30="-","-",AVERAGE(F30:G30))</f>
        <v>0.25</v>
      </c>
      <c r="I30" s="69">
        <v>1167.4</v>
      </c>
      <c r="J30" s="70">
        <v>29071</v>
      </c>
      <c r="K30" s="71">
        <f>IF(J30="-",0,I30*J30)</f>
        <v>33937485.400000006</v>
      </c>
      <c r="L30" s="72">
        <f>IF(H30="-","-",K30*H30)</f>
        <v>8484371.350000001</v>
      </c>
      <c r="M30" s="73">
        <f>IF($H30="-","-",(($K30/(-0.8+1)*((1/(1-$H30))^(-0.8+1)-1))))</f>
        <v>10049541.204629922</v>
      </c>
      <c r="N30" s="73">
        <f>IF($H30="-","-",(($K30/(-1.2+1)*((1/(1-$H30))^(-1.2+1)-1))))</f>
        <v>9487646.345534647</v>
      </c>
      <c r="O30" s="57"/>
      <c r="P30"/>
      <c r="Q30"/>
      <c r="R30"/>
      <c r="S30"/>
      <c r="T30"/>
      <c r="U30"/>
      <c r="V30"/>
    </row>
    <row r="31" spans="1:22" ht="29.25">
      <c r="A31" s="85" t="s">
        <v>112</v>
      </c>
      <c r="B31" s="85" t="s">
        <v>113</v>
      </c>
      <c r="C31" s="86" t="s">
        <v>114</v>
      </c>
      <c r="D31" s="87" t="s">
        <v>48</v>
      </c>
      <c r="E31" s="88" t="s">
        <v>62</v>
      </c>
      <c r="F31" s="89" t="s">
        <v>63</v>
      </c>
      <c r="G31" s="89" t="s">
        <v>63</v>
      </c>
      <c r="H31" s="89" t="s">
        <v>63</v>
      </c>
      <c r="I31" s="90">
        <v>1879.1</v>
      </c>
      <c r="J31" s="91">
        <v>140762</v>
      </c>
      <c r="K31" s="92">
        <f>IF(J31="-",0,I31*J31)</f>
        <v>264505874.2</v>
      </c>
      <c r="L31" s="93" t="str">
        <f>IF(H31="-","-",K31*H31)</f>
        <v>-</v>
      </c>
      <c r="M31" s="94" t="str">
        <f>IF($H31="-","-",(($K31/(-0.8+1)*((1/(1-$H31))^(-0.8+1)-1))))</f>
        <v>-</v>
      </c>
      <c r="N31" s="94" t="str">
        <f>IF($H31="-","-",(($K31/(-1.2+1)*((1/(1-$H31))^(-1.2+1)-1))))</f>
        <v>-</v>
      </c>
      <c r="O31" s="57"/>
      <c r="P31"/>
      <c r="Q31"/>
      <c r="R31"/>
      <c r="S31"/>
      <c r="T31"/>
      <c r="U31"/>
      <c r="V31"/>
    </row>
    <row r="32" spans="1:22" ht="29.25">
      <c r="A32" s="64" t="s">
        <v>115</v>
      </c>
      <c r="B32" s="64" t="s">
        <v>116</v>
      </c>
      <c r="C32" s="65" t="s">
        <v>117</v>
      </c>
      <c r="D32" s="66" t="s">
        <v>40</v>
      </c>
      <c r="E32" s="67" t="s">
        <v>72</v>
      </c>
      <c r="F32" s="68">
        <f>IF(E32="No aumenta",0,IF(E32="Pequeña",0,IF(E32="Moderada",0.1,IF(E32="Grande",0.4,IF(E32="Esencial",0.9,"-")))))</f>
        <v>0</v>
      </c>
      <c r="G32" s="68">
        <f>IF(E32="No aumenta",0,IF(E32="Pequeña",0.1,IF(E32="Moderada",0.4,IF(E32="Grande",0.9,IF(E32="Esencial",1,"-")))))</f>
        <v>0.1</v>
      </c>
      <c r="H32" s="68">
        <f>IF(F32="-","-",AVERAGE(F32:G32))</f>
        <v>0.05</v>
      </c>
      <c r="I32" s="69">
        <v>149</v>
      </c>
      <c r="J32" s="70">
        <v>48231</v>
      </c>
      <c r="K32" s="71">
        <f>IF(J32="-",0,I32*J32)</f>
        <v>7186419</v>
      </c>
      <c r="L32" s="72">
        <f>IF(H32="-","-",K32*H32)</f>
        <v>359320.95</v>
      </c>
      <c r="M32" s="73">
        <f>IF($H32="-","-",(($K32/(-0.8+1)*((1/(1-$H32))^(-0.8+1)-1))))</f>
        <v>370512.33580071485</v>
      </c>
      <c r="N32" s="73">
        <f>IF($H32="-","-",(($K32/(-1.2+1)*((1/(1-$H32))^(-1.2+1)-1))))</f>
        <v>366730.80601386883</v>
      </c>
      <c r="O32" s="57"/>
      <c r="P32"/>
      <c r="Q32"/>
      <c r="R32"/>
      <c r="S32"/>
      <c r="T32"/>
      <c r="U32"/>
      <c r="V32"/>
    </row>
    <row r="33" spans="1:22" ht="16.5">
      <c r="A33" s="64" t="s">
        <v>118</v>
      </c>
      <c r="B33" s="64" t="s">
        <v>119</v>
      </c>
      <c r="C33" s="65" t="s">
        <v>120</v>
      </c>
      <c r="D33" s="66" t="s">
        <v>40</v>
      </c>
      <c r="E33" s="67" t="s">
        <v>68</v>
      </c>
      <c r="F33" s="68">
        <f>IF(E33="No aumenta",0,IF(E33="Pequeña",0,IF(E33="Moderada",0.1,IF(E33="Grande",0.4,IF(E33="Esencial",0.9,"-")))))</f>
        <v>0</v>
      </c>
      <c r="G33" s="68">
        <f>IF(E33="No aumenta",0,IF(E33="Pequeña",0.1,IF(E33="Moderada",0.4,IF(E33="Grande",0.9,IF(E33="Esencial",1,"-")))))</f>
        <v>0</v>
      </c>
      <c r="H33" s="68">
        <f>IF(F33="-","-",AVERAGE(F33:G33))</f>
        <v>0</v>
      </c>
      <c r="I33" s="69">
        <v>601</v>
      </c>
      <c r="J33" s="70">
        <v>5809315</v>
      </c>
      <c r="K33" s="71">
        <f>IF(J33="-",0,I33*J33)</f>
        <v>3491398315</v>
      </c>
      <c r="L33" s="72">
        <f>IF(H33="-","-",K33*H33)</f>
        <v>0</v>
      </c>
      <c r="M33" s="73">
        <f>IF($H33="-","-",(($K33/(-0.8+1)*((1/(1-$H33))^(-0.8+1)-1))))</f>
        <v>0</v>
      </c>
      <c r="N33" s="73">
        <f>IF($H33="-","-",(($K33/(-1.2+1)*((1/(1-$H33))^(-1.2+1)-1))))</f>
        <v>0</v>
      </c>
      <c r="O33" s="57"/>
      <c r="P33"/>
      <c r="Q33"/>
      <c r="R33"/>
      <c r="S33"/>
      <c r="T33"/>
      <c r="U33"/>
      <c r="V33"/>
    </row>
    <row r="34" spans="1:22" ht="29.25">
      <c r="A34" s="47" t="s">
        <v>121</v>
      </c>
      <c r="B34" s="47" t="s">
        <v>122</v>
      </c>
      <c r="C34" s="48" t="s">
        <v>123</v>
      </c>
      <c r="D34" s="49" t="s">
        <v>34</v>
      </c>
      <c r="E34" s="50" t="s">
        <v>68</v>
      </c>
      <c r="F34" s="51">
        <f>IF(E34="No aumenta",0,IF(E34="Pequeña",0,IF(E34="Moderada",0.1,IF(E34="Grande",0.4,IF(E34="Esencial",0.9,"-")))))</f>
        <v>0</v>
      </c>
      <c r="G34" s="51">
        <f>IF(E34="No aumenta",0,IF(E34="Pequeña",0.1,IF(E34="Moderada",0.4,IF(E34="Grande",0.9,IF(E34="Esencial",1,"-")))))</f>
        <v>0</v>
      </c>
      <c r="H34" s="51">
        <f>IF(F34="-","-",AVERAGE(F34:G34))</f>
        <v>0</v>
      </c>
      <c r="I34" s="157">
        <v>1668.3</v>
      </c>
      <c r="J34" s="158">
        <v>17590</v>
      </c>
      <c r="K34" s="54">
        <f>IF(J34="-",0,I34*J34)</f>
        <v>29345397</v>
      </c>
      <c r="L34" s="55">
        <f>IF(H34="-","-",K34*H34)</f>
        <v>0</v>
      </c>
      <c r="M34" s="56">
        <f>IF($H34="-","-",(($K34/(-0.8+1)*((1/(1-$H34))^(-0.8+1)-1))))</f>
        <v>0</v>
      </c>
      <c r="N34" s="56">
        <f>IF($H34="-","-",(($K34/(-1.2+1)*((1/(1-$H34))^(-1.2+1)-1))))</f>
        <v>0</v>
      </c>
      <c r="O34" s="57"/>
      <c r="P34"/>
      <c r="Q34"/>
      <c r="R34"/>
      <c r="S34"/>
      <c r="T34"/>
      <c r="U34"/>
      <c r="V34"/>
    </row>
    <row r="35" spans="1:22" ht="16.5">
      <c r="A35" s="119" t="s">
        <v>124</v>
      </c>
      <c r="B35" s="119" t="s">
        <v>125</v>
      </c>
      <c r="C35" s="169" t="s">
        <v>126</v>
      </c>
      <c r="D35" s="58" t="s">
        <v>36</v>
      </c>
      <c r="E35" s="170" t="s">
        <v>68</v>
      </c>
      <c r="F35" s="170">
        <f>IF(E35="No aumenta",0,IF(E35="Pequeña",0,IF(E35="Moderada",0.1,IF(E35="Grande",0.4,IF(E35="Esencial",0.9,"-")))))</f>
        <v>0</v>
      </c>
      <c r="G35" s="170">
        <f>IF(E35="No aumenta",0,IF(E35="Pequeña",0.1,IF(E35="Moderada",0.4,IF(E35="Grande",0.9,IF(E35="Esencial",1,"-")))))</f>
        <v>0</v>
      </c>
      <c r="H35" s="170">
        <f>IF(F35="-","-",AVERAGE(F35:G35))</f>
        <v>0</v>
      </c>
      <c r="I35" s="124">
        <v>3740</v>
      </c>
      <c r="J35" s="125">
        <v>956</v>
      </c>
      <c r="K35" s="126">
        <f>IF(J35="-",0,I35*J35)</f>
        <v>3575440</v>
      </c>
      <c r="L35" s="127">
        <f>IF(H35="-","-",K35*H35)</f>
        <v>0</v>
      </c>
      <c r="M35" s="128">
        <f>IF($H35="-","-",(($K35/(-0.8+1)*((1/(1-$H35))^(-0.8+1)-1))))</f>
        <v>0</v>
      </c>
      <c r="N35" s="128">
        <f>IF($H35="-","-",(($K35/(-1.2+1)*((1/(1-$H35))^(-1.2+1)-1))))</f>
        <v>0</v>
      </c>
      <c r="O35" s="57"/>
      <c r="P35"/>
      <c r="Q35"/>
      <c r="R35"/>
      <c r="S35"/>
      <c r="T35"/>
      <c r="U35"/>
      <c r="V35"/>
    </row>
    <row r="36" spans="1:22" ht="16.5">
      <c r="A36" s="64" t="s">
        <v>127</v>
      </c>
      <c r="B36" s="64" t="s">
        <v>128</v>
      </c>
      <c r="C36" s="65" t="s">
        <v>129</v>
      </c>
      <c r="D36" s="171" t="s">
        <v>40</v>
      </c>
      <c r="E36" s="67" t="s">
        <v>130</v>
      </c>
      <c r="F36" s="68">
        <f>IF(E36="No aumenta",0,IF(E36="Pequeña",0,IF(E36="Moderada",0.1,IF(E36="Grande",0.4,IF(E36="Esencial",0.9,"-")))))</f>
        <v>0.9</v>
      </c>
      <c r="G36" s="68">
        <f>IF(E36="No aumenta",0,IF(E36="Pequeña",0.1,IF(E36="Moderada",0.4,IF(E36="Grande",0.9,IF(E36="Esencial",1,"-")))))</f>
        <v>1</v>
      </c>
      <c r="H36" s="68">
        <f>IF(F36="-","-",AVERAGE(F36:G36))</f>
        <v>0.95</v>
      </c>
      <c r="I36" s="69">
        <v>706</v>
      </c>
      <c r="J36" s="70">
        <v>23425</v>
      </c>
      <c r="K36" s="71">
        <f>IF(J36="-",0,I36*J36)</f>
        <v>16538050</v>
      </c>
      <c r="L36" s="72">
        <f>IF(H36="-","-",K36*H36)</f>
        <v>15711147.5</v>
      </c>
      <c r="M36" s="73">
        <f>IF($H36="-","-",(($K36/(-0.8+1)*((1/(1-$H36))^(-0.8+1)-1))))</f>
        <v>67852659.08927731</v>
      </c>
      <c r="N36" s="73">
        <f>IF($H36="-","-",(($K36/(-1.2+1)*((1/(1-$H36))^(-1.2+1)-1))))</f>
        <v>37270127.01694064</v>
      </c>
      <c r="O36" s="57"/>
      <c r="P36"/>
      <c r="Q36"/>
      <c r="R36"/>
      <c r="S36"/>
      <c r="T36"/>
      <c r="U36"/>
      <c r="V36"/>
    </row>
    <row r="37" spans="1:22" ht="29.25">
      <c r="A37" s="64" t="s">
        <v>131</v>
      </c>
      <c r="B37" s="64" t="s">
        <v>132</v>
      </c>
      <c r="C37" s="65" t="s">
        <v>133</v>
      </c>
      <c r="D37" s="66" t="s">
        <v>40</v>
      </c>
      <c r="E37" s="67" t="s">
        <v>72</v>
      </c>
      <c r="F37" s="68">
        <v>0</v>
      </c>
      <c r="G37" s="68">
        <v>0.1</v>
      </c>
      <c r="H37" s="68">
        <v>0.05</v>
      </c>
      <c r="I37" s="69">
        <v>164.4</v>
      </c>
      <c r="J37" s="70">
        <v>736198</v>
      </c>
      <c r="K37" s="71">
        <f>IF(J37="-",0,I37*J37)</f>
        <v>121030951.2</v>
      </c>
      <c r="L37" s="72">
        <f>IF(H37="-","-",K37*H37)</f>
        <v>6051547.5600000005</v>
      </c>
      <c r="M37" s="73">
        <f>IF($H37="-","-",(($K37/(-0.8+1)*((1/(1-$H37))^(-0.8+1)-1))))</f>
        <v>6240028.647549542</v>
      </c>
      <c r="N37" s="73">
        <f>IF($H37="-","-",(($K37/(-1.2+1)*((1/(1-$H37))^(-1.2+1)-1))))</f>
        <v>6176341.552893204</v>
      </c>
      <c r="O37" s="57"/>
      <c r="P37"/>
      <c r="Q37"/>
      <c r="R37"/>
      <c r="S37"/>
      <c r="T37"/>
      <c r="U37"/>
      <c r="V37"/>
    </row>
    <row r="38" spans="1:15" ht="16.5">
      <c r="A38" s="134" t="s">
        <v>134</v>
      </c>
      <c r="B38" s="134" t="s">
        <v>135</v>
      </c>
      <c r="C38" s="135" t="s">
        <v>136</v>
      </c>
      <c r="D38" s="95" t="s">
        <v>50</v>
      </c>
      <c r="E38" s="136" t="s">
        <v>68</v>
      </c>
      <c r="F38" s="137">
        <v>0</v>
      </c>
      <c r="G38" s="137">
        <v>0</v>
      </c>
      <c r="H38" s="137">
        <v>0</v>
      </c>
      <c r="I38" s="138">
        <v>761.9</v>
      </c>
      <c r="J38" s="139">
        <v>20426</v>
      </c>
      <c r="K38" s="140">
        <f>IF(J38="-",0,I38*J38)</f>
        <v>15562569.4</v>
      </c>
      <c r="L38" s="141">
        <f>IF(H38="-","-",K38*H38)</f>
        <v>0</v>
      </c>
      <c r="M38" s="142">
        <f>IF($H38="-","-",(($K38/(-0.8+1)*((1/(1-$H38))^(-0.8+1)-1))))</f>
        <v>0</v>
      </c>
      <c r="N38" s="142">
        <f>IF($H38="-","-",(($K38/(-1.2+1)*((1/(1-$H38))^(-1.2+1)-1))))</f>
        <v>0</v>
      </c>
      <c r="O38" s="57"/>
    </row>
    <row r="39" spans="1:15" ht="42.75">
      <c r="A39" s="85" t="s">
        <v>137</v>
      </c>
      <c r="B39" s="85" t="s">
        <v>138</v>
      </c>
      <c r="C39" s="86" t="s">
        <v>139</v>
      </c>
      <c r="D39" s="87" t="s">
        <v>48</v>
      </c>
      <c r="E39" s="88" t="s">
        <v>49</v>
      </c>
      <c r="F39" s="89" t="str">
        <f>IF(E39="No aumenta",0,IF(E39="Pequeña",0,IF(E39="Moderada",0.1,IF(E39="Grande",0.4,IF(E39="Esencial",0.9,"-")))))</f>
        <v>-</v>
      </c>
      <c r="G39" s="89" t="str">
        <f>IF(E39="No aumenta",0,IF(E39="Pequeña",0.1,IF(E39="Moderada",0.4,IF(E39="Grande",0.9,IF(E39="Esencial",1,"-")))))</f>
        <v>-</v>
      </c>
      <c r="H39" s="89" t="str">
        <f>IF(F39="-","-",AVERAGE(F39:G39))</f>
        <v>-</v>
      </c>
      <c r="I39" s="90">
        <v>300</v>
      </c>
      <c r="J39" s="91">
        <v>868436</v>
      </c>
      <c r="K39" s="92">
        <f>IF(J39="-",0,I39*J39)</f>
        <v>260530800</v>
      </c>
      <c r="L39" s="93" t="str">
        <f>IF(H39="-","-",K39*H39)</f>
        <v>-</v>
      </c>
      <c r="M39" s="94" t="str">
        <f>IF($H39="-","-",(($K39/(-0.8+1)*((1/(1-$H39))^(-0.8+1)-1))))</f>
        <v>-</v>
      </c>
      <c r="N39" s="94" t="str">
        <f>IF($H39="-","-",(($K39/(-1.2+1)*((1/(1-$H39))^(-1.2+1)-1))))</f>
        <v>-</v>
      </c>
      <c r="O39" s="57"/>
    </row>
    <row r="40" spans="1:15" ht="16.5">
      <c r="A40" s="134" t="s">
        <v>140</v>
      </c>
      <c r="B40" s="134" t="s">
        <v>141</v>
      </c>
      <c r="C40" s="172" t="s">
        <v>142</v>
      </c>
      <c r="D40" s="173" t="s">
        <v>50</v>
      </c>
      <c r="E40" s="137" t="s">
        <v>68</v>
      </c>
      <c r="F40" s="137">
        <v>0</v>
      </c>
      <c r="G40" s="137">
        <v>0</v>
      </c>
      <c r="H40" s="137">
        <v>0</v>
      </c>
      <c r="I40" s="138">
        <v>238.5</v>
      </c>
      <c r="J40" s="139">
        <v>5166</v>
      </c>
      <c r="K40" s="140">
        <f>IF(J40="-",0,I40*J40)</f>
        <v>1232091</v>
      </c>
      <c r="L40" s="141">
        <f>IF(H40="-","-",K40*H40)</f>
        <v>0</v>
      </c>
      <c r="M40" s="142">
        <f>IF($H40="-","-",(($K40/(-0.8+1)*((1/(1-$H40))^(-0.8+1)-1))))</f>
        <v>0</v>
      </c>
      <c r="N40" s="142">
        <f>IF($H40="-","-",(($K40/(-1.2+1)*((1/(1-$H40))^(-1.2+1)-1))))</f>
        <v>0</v>
      </c>
      <c r="O40" s="57"/>
    </row>
    <row r="41" spans="1:15" ht="16.5">
      <c r="A41" s="119" t="s">
        <v>143</v>
      </c>
      <c r="B41" s="119" t="s">
        <v>144</v>
      </c>
      <c r="C41" s="120" t="s">
        <v>145</v>
      </c>
      <c r="D41" s="121" t="s">
        <v>36</v>
      </c>
      <c r="E41" s="122" t="s">
        <v>68</v>
      </c>
      <c r="F41" s="123">
        <v>0</v>
      </c>
      <c r="G41" s="123">
        <v>0</v>
      </c>
      <c r="H41" s="123">
        <v>0</v>
      </c>
      <c r="I41" s="124">
        <v>216.9</v>
      </c>
      <c r="J41" s="125">
        <v>4199927</v>
      </c>
      <c r="K41" s="126">
        <f>IF(J41="-",0,I41*J41)</f>
        <v>910964166.3000001</v>
      </c>
      <c r="L41" s="127">
        <f>IF(H41="-","-",K41*H41)</f>
        <v>0</v>
      </c>
      <c r="M41" s="128">
        <f>IF($H41="-","-",(($K41/(-0.8+1)*((1/(1-$H41))^(-0.8+1)-1))))</f>
        <v>0</v>
      </c>
      <c r="N41" s="128">
        <f>IF($H41="-","-",(($K41/(-1.2+1)*((1/(1-$H41))^(-1.2+1)-1))))</f>
        <v>0</v>
      </c>
      <c r="O41" s="57"/>
    </row>
    <row r="42" spans="1:15" ht="29.25">
      <c r="A42" s="85" t="s">
        <v>146</v>
      </c>
      <c r="B42" s="85" t="s">
        <v>147</v>
      </c>
      <c r="C42" s="86" t="s">
        <v>148</v>
      </c>
      <c r="D42" s="87" t="s">
        <v>48</v>
      </c>
      <c r="E42" s="88" t="s">
        <v>68</v>
      </c>
      <c r="F42" s="89">
        <f>IF(E42="No aumenta",0,IF(E42="Pequeña",0,IF(E42="Moderada",0.1,IF(E42="Grande",0.4,IF(E42="Esencial",0.9,"-")))))</f>
        <v>0</v>
      </c>
      <c r="G42" s="89">
        <f>IF(E42="No aumenta",0,IF(E42="Pequeña",0.1,IF(E42="Moderada",0.4,IF(E42="Grande",0.9,IF(E42="Esencial",1,"-")))))</f>
        <v>0</v>
      </c>
      <c r="H42" s="89">
        <f>IF(F42="-","-",AVERAGE(F42:G42))</f>
        <v>0</v>
      </c>
      <c r="I42" s="90">
        <v>1034.6</v>
      </c>
      <c r="J42" s="91">
        <f>12790+135545</f>
        <v>148335</v>
      </c>
      <c r="K42" s="92">
        <f>IF(J42="-",0,I42*J42)</f>
        <v>153467391</v>
      </c>
      <c r="L42" s="93">
        <f>IF(H42="-","-",K42*H42)</f>
        <v>0</v>
      </c>
      <c r="M42" s="94">
        <f>IF($H42="-","-",(($K42/(-0.8+1)*((1/(1-$H42))^(-0.8+1)-1))))</f>
        <v>0</v>
      </c>
      <c r="N42" s="94">
        <f>IF($H42="-","-",(($K42/(-1.2+1)*((1/(1-$H42))^(-1.2+1)-1))))</f>
        <v>0</v>
      </c>
      <c r="O42" s="57"/>
    </row>
    <row r="43" spans="1:15" ht="16.5">
      <c r="A43" s="119" t="s">
        <v>149</v>
      </c>
      <c r="B43" s="119" t="s">
        <v>150</v>
      </c>
      <c r="C43" s="120" t="s">
        <v>151</v>
      </c>
      <c r="D43" s="121" t="s">
        <v>36</v>
      </c>
      <c r="E43" s="122" t="s">
        <v>68</v>
      </c>
      <c r="F43" s="123">
        <v>0</v>
      </c>
      <c r="G43" s="123">
        <v>0</v>
      </c>
      <c r="H43" s="123">
        <v>0</v>
      </c>
      <c r="I43" s="124">
        <v>181.5</v>
      </c>
      <c r="J43" s="125">
        <v>1119214</v>
      </c>
      <c r="K43" s="126">
        <f>IF(J43="-",0,I43*J43)</f>
        <v>203137341</v>
      </c>
      <c r="L43" s="127">
        <f>IF(H43="-","-",K43*H43)</f>
        <v>0</v>
      </c>
      <c r="M43" s="128">
        <f>IF($H43="-","-",(($K43/(-0.8+1)*((1/(1-$H43))^(-0.8+1)-1))))</f>
        <v>0</v>
      </c>
      <c r="N43" s="128">
        <f>IF($H43="-","-",(($K43/(-1.2+1)*((1/(1-$H43))^(-1.2+1)-1))))</f>
        <v>0</v>
      </c>
      <c r="O43" s="57"/>
    </row>
    <row r="44" spans="1:15" ht="16.5">
      <c r="A44" s="174" t="s">
        <v>152</v>
      </c>
      <c r="B44" s="174" t="s">
        <v>153</v>
      </c>
      <c r="C44" s="175" t="s">
        <v>154</v>
      </c>
      <c r="D44" s="79" t="s">
        <v>44</v>
      </c>
      <c r="E44" s="176" t="s">
        <v>68</v>
      </c>
      <c r="F44" s="177">
        <f>IF(E44="No aumenta",0,IF(E44="Pequeña",0,IF(E44="Moderada",0.1,IF(E44="Grande",0.4,IF(E44="Esencial",0.9,"-")))))</f>
        <v>0</v>
      </c>
      <c r="G44" s="177">
        <f>IF(E44="No aumenta",0,IF(E44="Pequeña",0.1,IF(E44="Moderada",0.4,IF(E44="Grande",0.9,IF(E44="Esencial",1,"-")))))</f>
        <v>0</v>
      </c>
      <c r="H44" s="177">
        <f>IF(F44="-","-",AVERAGE(F44:G44))</f>
        <v>0</v>
      </c>
      <c r="I44" s="178">
        <v>396.6</v>
      </c>
      <c r="J44" s="179">
        <v>7820060</v>
      </c>
      <c r="K44" s="180">
        <f>IF(J44="-",0,I44*J44)</f>
        <v>3101435796</v>
      </c>
      <c r="L44" s="181">
        <f>IF(H44="-","-",K44*H44)</f>
        <v>0</v>
      </c>
      <c r="M44" s="182">
        <f>IF($H44="-","-",(($K44/(-0.8+1)*((1/(1-$H44))^(-0.8+1)-1))))</f>
        <v>0</v>
      </c>
      <c r="N44" s="182">
        <f>IF($H44="-","-",(($K44/(-1.2+1)*((1/(1-$H44))^(-1.2+1)-1))))</f>
        <v>0</v>
      </c>
      <c r="O44" s="57"/>
    </row>
    <row r="45" spans="1:15" ht="42.75">
      <c r="A45" s="85" t="s">
        <v>155</v>
      </c>
      <c r="B45" s="85" t="s">
        <v>156</v>
      </c>
      <c r="C45" s="86" t="s">
        <v>157</v>
      </c>
      <c r="D45" s="87" t="s">
        <v>48</v>
      </c>
      <c r="E45" s="88" t="s">
        <v>49</v>
      </c>
      <c r="F45" s="89" t="s">
        <v>63</v>
      </c>
      <c r="G45" s="89" t="s">
        <v>63</v>
      </c>
      <c r="H45" s="89" t="s">
        <v>63</v>
      </c>
      <c r="I45" s="90">
        <v>677.7</v>
      </c>
      <c r="J45" s="91">
        <v>22172</v>
      </c>
      <c r="K45" s="92">
        <f>IF(J45="-",0,I45*J45)</f>
        <v>15025964.4</v>
      </c>
      <c r="L45" s="93" t="str">
        <f>IF(H45="-","-",K45*H45)</f>
        <v>-</v>
      </c>
      <c r="M45" s="94" t="str">
        <f>IF($H45="-","-",(($K45/(-0.8+1)*((1/(1-$H45))^(-0.8+1)-1))))</f>
        <v>-</v>
      </c>
      <c r="N45" s="94" t="str">
        <f>IF($H45="-","-",(($K45/(-1.2+1)*((1/(1-$H45))^(-1.2+1)-1))))</f>
        <v>-</v>
      </c>
      <c r="O45" s="57"/>
    </row>
    <row r="46" spans="1:15" ht="42.75">
      <c r="A46" s="85" t="s">
        <v>158</v>
      </c>
      <c r="B46" s="85" t="s">
        <v>159</v>
      </c>
      <c r="C46" s="86" t="s">
        <v>157</v>
      </c>
      <c r="D46" s="87" t="s">
        <v>48</v>
      </c>
      <c r="E46" s="88" t="s">
        <v>49</v>
      </c>
      <c r="F46" s="89" t="s">
        <v>63</v>
      </c>
      <c r="G46" s="89" t="s">
        <v>63</v>
      </c>
      <c r="H46" s="89" t="s">
        <v>63</v>
      </c>
      <c r="I46" s="90">
        <v>174.9</v>
      </c>
      <c r="J46" s="91">
        <v>1307531</v>
      </c>
      <c r="K46" s="92">
        <f>IF(J46="-",0,I46*J46)</f>
        <v>228687171.9</v>
      </c>
      <c r="L46" s="93" t="str">
        <f>IF(H46="-","-",K46*H46)</f>
        <v>-</v>
      </c>
      <c r="M46" s="94" t="str">
        <f>IF($H46="-","-",(($K46/(-0.8+1)*((1/(1-$H46))^(-0.8+1)-1))))</f>
        <v>-</v>
      </c>
      <c r="N46" s="94" t="str">
        <f>IF($H46="-","-",(($K46/(-1.2+1)*((1/(1-$H46))^(-1.2+1)-1))))</f>
        <v>-</v>
      </c>
      <c r="O46" s="57"/>
    </row>
    <row r="47" spans="1:15" ht="16.5">
      <c r="A47" s="64" t="s">
        <v>160</v>
      </c>
      <c r="B47" s="64" t="s">
        <v>161</v>
      </c>
      <c r="C47" s="65" t="s">
        <v>162</v>
      </c>
      <c r="D47" s="66" t="s">
        <v>40</v>
      </c>
      <c r="E47" s="67" t="s">
        <v>72</v>
      </c>
      <c r="F47" s="68">
        <v>0</v>
      </c>
      <c r="G47" s="68">
        <v>0.1</v>
      </c>
      <c r="H47" s="68">
        <v>0.05</v>
      </c>
      <c r="I47" s="69">
        <v>198.6</v>
      </c>
      <c r="J47" s="70">
        <v>2818888</v>
      </c>
      <c r="K47" s="71">
        <f>IF(J47="-",0,I47*J47)</f>
        <v>559831156.8</v>
      </c>
      <c r="L47" s="72">
        <f>IF(H47="-","-",K47*H47)</f>
        <v>27991557.84</v>
      </c>
      <c r="M47" s="73">
        <f>IF($H47="-","-",(($K47/(-0.8+1)*((1/(1-$H47))^(-0.8+1)-1))))</f>
        <v>28863380.991281506</v>
      </c>
      <c r="N47" s="73">
        <f>IF($H47="-","-",(($K47/(-1.2+1)*((1/(1-$H47))^(-1.2+1)-1))))</f>
        <v>28568795.023632854</v>
      </c>
      <c r="O47" s="57"/>
    </row>
    <row r="48" spans="1:15" ht="56.25">
      <c r="A48" s="85" t="s">
        <v>163</v>
      </c>
      <c r="B48" s="85" t="s">
        <v>164</v>
      </c>
      <c r="C48" s="86" t="s">
        <v>165</v>
      </c>
      <c r="D48" s="87" t="s">
        <v>48</v>
      </c>
      <c r="E48" s="88" t="s">
        <v>130</v>
      </c>
      <c r="F48" s="89">
        <f>IF(E48="No aumenta",0,IF(E48="Pequeña",0,IF(E48="Moderada",0.1,IF(E48="Grande",0.4,IF(E48="Esencial",0.9,"-")))))</f>
        <v>0.9</v>
      </c>
      <c r="G48" s="89">
        <f>IF(E48="No aumenta",0,IF(E48="Pequeña",0.1,IF(E48="Moderada",0.4,IF(E48="Grande",0.9,IF(E48="Esencial",1,"-")))))</f>
        <v>1</v>
      </c>
      <c r="H48" s="89">
        <f>IF(F48="-","-",AVERAGE(F48:G48))</f>
        <v>0.95</v>
      </c>
      <c r="I48" s="90">
        <v>259.9</v>
      </c>
      <c r="J48" s="91">
        <v>871996</v>
      </c>
      <c r="K48" s="92">
        <f>IF(J48="-",0,I48*J48)</f>
        <v>226631760.39999998</v>
      </c>
      <c r="L48" s="93">
        <f>IF(H48="-","-",K48*H48)</f>
        <v>215300172.37999997</v>
      </c>
      <c r="M48" s="94">
        <f>IF($H48="-","-",(($K48/(-0.8+1)*((1/(1-$H48))^(-0.8+1)-1))))</f>
        <v>929829549.2651175</v>
      </c>
      <c r="N48" s="94">
        <f>IF($H48="-","-",(($K48/(-1.2+1)*((1/(1-$H48))^(-1.2+1)-1))))</f>
        <v>510737027.4113852</v>
      </c>
      <c r="O48" s="57"/>
    </row>
    <row r="49" spans="1:15" ht="42.75">
      <c r="A49" s="64" t="s">
        <v>166</v>
      </c>
      <c r="B49" s="64" t="s">
        <v>167</v>
      </c>
      <c r="C49" s="65" t="s">
        <v>168</v>
      </c>
      <c r="D49" s="66" t="s">
        <v>40</v>
      </c>
      <c r="E49" s="67" t="s">
        <v>35</v>
      </c>
      <c r="F49" s="68">
        <v>0.4</v>
      </c>
      <c r="G49" s="68">
        <v>0.9</v>
      </c>
      <c r="H49" s="68">
        <v>0.65</v>
      </c>
      <c r="I49" s="69">
        <v>532.1</v>
      </c>
      <c r="J49" s="70">
        <v>1336362</v>
      </c>
      <c r="K49" s="71">
        <f>IF(J49="-",0,I49*J49)</f>
        <v>711078220.2</v>
      </c>
      <c r="L49" s="72">
        <f>IF(H49="-","-",K49*H49)</f>
        <v>462200843.13000005</v>
      </c>
      <c r="M49" s="73">
        <f>IF($H49="-","-",(($K49/(-0.8+1)*((1/(1-$H49))^(-0.8+1)-1))))</f>
        <v>830660857.8554481</v>
      </c>
      <c r="N49" s="73">
        <f>IF($H49="-","-",(($K49/(-1.2+1)*((1/(1-$H49))^(-1.2+1)-1))))</f>
        <v>673344558.9958227</v>
      </c>
      <c r="O49" s="57"/>
    </row>
    <row r="50" spans="1:15" ht="16.5">
      <c r="A50" s="64" t="s">
        <v>169</v>
      </c>
      <c r="B50" s="64" t="s">
        <v>170</v>
      </c>
      <c r="C50" s="65" t="s">
        <v>171</v>
      </c>
      <c r="D50" s="66" t="s">
        <v>40</v>
      </c>
      <c r="E50" s="67" t="s">
        <v>35</v>
      </c>
      <c r="F50" s="68">
        <v>0.4</v>
      </c>
      <c r="G50" s="68">
        <v>0.9</v>
      </c>
      <c r="H50" s="68">
        <v>0.65</v>
      </c>
      <c r="I50" s="69">
        <v>427.4</v>
      </c>
      <c r="J50" s="70">
        <v>502434</v>
      </c>
      <c r="K50" s="71">
        <f>IF(J50="-",0,I50*J50)</f>
        <v>214740291.6</v>
      </c>
      <c r="L50" s="72">
        <f>IF(H50="-","-",K50*H50)</f>
        <v>139581189.54</v>
      </c>
      <c r="M50" s="73">
        <f>IF($H50="-","-",(($K50/(-0.8+1)*((1/(1-$H50))^(-0.8+1)-1))))</f>
        <v>250853351.66982672</v>
      </c>
      <c r="N50" s="73">
        <f>IF($H50="-","-",(($K50/(-1.2+1)*((1/(1-$H50))^(-1.2+1)-1))))</f>
        <v>203345008.80278313</v>
      </c>
      <c r="O50" s="57"/>
    </row>
    <row r="51" spans="1:15" ht="29.25">
      <c r="A51" s="134" t="s">
        <v>172</v>
      </c>
      <c r="B51" s="134" t="s">
        <v>173</v>
      </c>
      <c r="C51" s="135" t="s">
        <v>174</v>
      </c>
      <c r="D51" s="95" t="s">
        <v>50</v>
      </c>
      <c r="E51" s="136" t="s">
        <v>68</v>
      </c>
      <c r="F51" s="137">
        <f>IF(E51="No aumenta",0,IF(E51="Pequeña",0,IF(E51="Moderada",0.1,IF(E51="Grande",0.4,IF(E51="Esencial",0.9,"-")))))</f>
        <v>0</v>
      </c>
      <c r="G51" s="137">
        <f>IF(E51="No aumenta",0,IF(E51="Pequeña",0.1,IF(E51="Moderada",0.4,IF(E51="Grande",0.9,IF(E51="Esencial",1,"-")))))</f>
        <v>0</v>
      </c>
      <c r="H51" s="137">
        <f>IF(F51="-","-",AVERAGE(F51:G51))</f>
        <v>0</v>
      </c>
      <c r="I51" s="138">
        <v>223.6</v>
      </c>
      <c r="J51" s="139">
        <v>253427</v>
      </c>
      <c r="K51" s="140">
        <f>IF(J51="-",0,I51*J51)</f>
        <v>56666277.199999996</v>
      </c>
      <c r="L51" s="141">
        <f>IF(H51="-","-",K51*H51)</f>
        <v>0</v>
      </c>
      <c r="M51" s="142">
        <f>IF($H51="-","-",(($K51/(-0.8+1)*((1/(1-$H51))^(-0.8+1)-1))))</f>
        <v>0</v>
      </c>
      <c r="N51" s="142">
        <f>IF($H51="-","-",(($K51/(-1.2+1)*((1/(1-$H51))^(-1.2+1)-1))))</f>
        <v>0</v>
      </c>
      <c r="O51" s="57"/>
    </row>
    <row r="52" spans="1:15" ht="29.25">
      <c r="A52" s="85" t="s">
        <v>175</v>
      </c>
      <c r="B52" s="85" t="s">
        <v>176</v>
      </c>
      <c r="C52" s="86" t="s">
        <v>174</v>
      </c>
      <c r="D52" s="87" t="s">
        <v>48</v>
      </c>
      <c r="E52" s="88" t="s">
        <v>68</v>
      </c>
      <c r="F52" s="89">
        <f>IF(E52="No aumenta",0,IF(E52="Pequeña",0,IF(E52="Moderada",0.1,IF(E52="Grande",0.4,IF(E52="Esencial",0.9,"-")))))</f>
        <v>0</v>
      </c>
      <c r="G52" s="89">
        <f>IF(E52="No aumenta",0,IF(E52="Pequeña",0.1,IF(E52="Moderada",0.4,IF(E52="Grande",0.9,IF(E52="Esencial",1,"-")))))</f>
        <v>0</v>
      </c>
      <c r="H52" s="89">
        <f>IF(F52="-","-",AVERAGE(F52:G52))</f>
        <v>0</v>
      </c>
      <c r="I52" s="90">
        <v>1847.6</v>
      </c>
      <c r="J52" s="91">
        <v>85300</v>
      </c>
      <c r="K52" s="92">
        <f>IF(J52="-",0,I52*J52)</f>
        <v>157600280</v>
      </c>
      <c r="L52" s="93">
        <f>IF(H52="-","-",K52*H52)</f>
        <v>0</v>
      </c>
      <c r="M52" s="94">
        <f>IF($H52="-","-",(($K52/(-0.8+1)*((1/(1-$H52))^(-0.8+1)-1))))</f>
        <v>0</v>
      </c>
      <c r="N52" s="94">
        <f>IF($H52="-","-",(($K52/(-1.2+1)*((1/(1-$H52))^(-1.2+1)-1))))</f>
        <v>0</v>
      </c>
      <c r="O52" s="57"/>
    </row>
    <row r="53" spans="1:15" ht="29.25">
      <c r="A53" s="64" t="s">
        <v>177</v>
      </c>
      <c r="B53" s="64" t="s">
        <v>178</v>
      </c>
      <c r="C53" s="65" t="s">
        <v>179</v>
      </c>
      <c r="D53" s="66" t="s">
        <v>40</v>
      </c>
      <c r="E53" s="67" t="s">
        <v>35</v>
      </c>
      <c r="F53" s="68">
        <v>0.4</v>
      </c>
      <c r="G53" s="68">
        <v>0.9</v>
      </c>
      <c r="H53" s="68">
        <v>0.65</v>
      </c>
      <c r="I53" s="69">
        <v>471.3</v>
      </c>
      <c r="J53" s="70">
        <v>230877</v>
      </c>
      <c r="K53" s="71">
        <f>IF(J53="-",0,I53*J53)</f>
        <v>108812330.10000001</v>
      </c>
      <c r="L53" s="72">
        <f>IF(H53="-","-",K53*H53)</f>
        <v>70728014.56500001</v>
      </c>
      <c r="M53" s="73">
        <f>IF($H53="-","-",(($K53/(-0.8+1)*((1/(1-$H53))^(-0.8+1)-1))))</f>
        <v>127111393.5126489</v>
      </c>
      <c r="N53" s="73">
        <f>IF($H53="-","-",(($K53/(-1.2+1)*((1/(1-$H53))^(-1.2+1)-1))))</f>
        <v>103038158.59229207</v>
      </c>
      <c r="O53" s="57"/>
    </row>
    <row r="54" spans="1:15" ht="29.25">
      <c r="A54" s="183" t="s">
        <v>180</v>
      </c>
      <c r="B54" s="183" t="s">
        <v>181</v>
      </c>
      <c r="C54" s="184" t="s">
        <v>182</v>
      </c>
      <c r="D54" s="101" t="s">
        <v>54</v>
      </c>
      <c r="E54" s="185" t="s">
        <v>62</v>
      </c>
      <c r="F54" s="186" t="s">
        <v>63</v>
      </c>
      <c r="G54" s="186" t="s">
        <v>63</v>
      </c>
      <c r="H54" s="186" t="s">
        <v>63</v>
      </c>
      <c r="I54" s="187">
        <v>212.7</v>
      </c>
      <c r="J54" s="188">
        <v>2455101</v>
      </c>
      <c r="K54" s="189">
        <f>IF(J54="-",0,I54*J54)</f>
        <v>522199982.7</v>
      </c>
      <c r="L54" s="190" t="str">
        <f>IF(H54="-","-",K54*H54)</f>
        <v>-</v>
      </c>
      <c r="M54" s="191" t="str">
        <f>IF($H54="-","-",(($K54/(-0.8+1)*((1/(1-$H54))^(-0.8+1)-1))))</f>
        <v>-</v>
      </c>
      <c r="N54" s="191" t="str">
        <f>IF($H54="-","-",(($K54/(-1.2+1)*((1/(1-$H54))^(-1.2+1)-1))))</f>
        <v>-</v>
      </c>
      <c r="O54" s="57"/>
    </row>
    <row r="55" spans="1:15" ht="56.25">
      <c r="A55" s="85" t="s">
        <v>183</v>
      </c>
      <c r="B55" s="85" t="s">
        <v>184</v>
      </c>
      <c r="C55" s="86" t="s">
        <v>185</v>
      </c>
      <c r="D55" s="87" t="s">
        <v>48</v>
      </c>
      <c r="E55" s="88" t="s">
        <v>130</v>
      </c>
      <c r="F55" s="89">
        <f>IF(E55="No aumenta",0,IF(E55="Pequeña",0,IF(E55="Moderada",0.1,IF(E55="Grande",0.4,IF(E55="Esencial",0.9,"-")))))</f>
        <v>0.9</v>
      </c>
      <c r="G55" s="89">
        <f>IF(E55="No aumenta",0,IF(E55="Pequeña",0.1,IF(E55="Moderada",0.4,IF(E55="Grande",0.9,IF(E55="Esencial",1,"-")))))</f>
        <v>1</v>
      </c>
      <c r="H55" s="89">
        <f>IF(F55="-","-",AVERAGE(F55:G55))</f>
        <v>0.95</v>
      </c>
      <c r="I55" s="90">
        <v>333.5</v>
      </c>
      <c r="J55" s="91">
        <f>48600+403380</f>
        <v>451980</v>
      </c>
      <c r="K55" s="92">
        <f>IF(J55="-",0,I55*J55)</f>
        <v>150735330</v>
      </c>
      <c r="L55" s="93">
        <f>IF(H55="-","-",K55*H55)</f>
        <v>143198563.5</v>
      </c>
      <c r="M55" s="94">
        <f>IF($H55="-","-",(($K55/(-0.8+1)*((1/(1-$H55))^(-0.8+1)-1))))</f>
        <v>618440079.6466157</v>
      </c>
      <c r="N55" s="94">
        <f>IF($H55="-","-",(($K55/(-1.2+1)*((1/(1-$H55))^(-1.2+1)-1))))</f>
        <v>339696934.94943255</v>
      </c>
      <c r="O55" s="57"/>
    </row>
    <row r="56" spans="1:15" ht="16.5">
      <c r="A56" s="64" t="s">
        <v>186</v>
      </c>
      <c r="B56" s="64" t="s">
        <v>187</v>
      </c>
      <c r="C56" s="192" t="s">
        <v>188</v>
      </c>
      <c r="D56" s="66" t="s">
        <v>40</v>
      </c>
      <c r="E56" s="67" t="s">
        <v>35</v>
      </c>
      <c r="F56" s="68">
        <v>0.4</v>
      </c>
      <c r="G56" s="68">
        <v>0.9</v>
      </c>
      <c r="H56" s="68">
        <v>0.65</v>
      </c>
      <c r="I56" s="69">
        <v>316.1</v>
      </c>
      <c r="J56" s="70">
        <v>13115</v>
      </c>
      <c r="K56" s="71">
        <f>IF(J56="-",0,I56*J56)</f>
        <v>4145651.5000000005</v>
      </c>
      <c r="L56" s="72">
        <f>IF(H56="-","-",K56*H56)</f>
        <v>2694673.4750000006</v>
      </c>
      <c r="M56" s="73">
        <f>IF($H56="-","-",(($K56/(-0.8+1)*((1/(1-$H56))^(-0.8+1)-1))))</f>
        <v>4842829.288726014</v>
      </c>
      <c r="N56" s="73">
        <f>IF($H56="-","-",(($K56/(-1.2+1)*((1/(1-$H56))^(-1.2+1)-1))))</f>
        <v>3925660.7806560844</v>
      </c>
      <c r="O56" s="57"/>
    </row>
    <row r="57" spans="1:15" ht="16.5">
      <c r="A57" s="174" t="s">
        <v>189</v>
      </c>
      <c r="B57" s="174" t="s">
        <v>190</v>
      </c>
      <c r="C57" s="193" t="s">
        <v>191</v>
      </c>
      <c r="D57" s="79" t="s">
        <v>44</v>
      </c>
      <c r="E57" s="176" t="s">
        <v>79</v>
      </c>
      <c r="F57" s="177">
        <f>IF(E57="No aumenta",0,IF(E57="Pequeña",0,IF(E57="Moderada",0.1,IF(E57="Grande",0.4,IF(E57="Esencial",0.9,"-")))))</f>
        <v>0.1</v>
      </c>
      <c r="G57" s="177">
        <f>IF(E57="No aumenta",0,IF(E57="Pequeña",0.1,IF(E57="Moderada",0.4,IF(E57="Grande",0.9,IF(E57="Esencial",1,"-")))))</f>
        <v>0.4</v>
      </c>
      <c r="H57" s="177">
        <f>IF(F57="-","-",AVERAGE(F57:G57))</f>
        <v>0.25</v>
      </c>
      <c r="I57" s="178">
        <v>283.3</v>
      </c>
      <c r="J57" s="179">
        <v>63902</v>
      </c>
      <c r="K57" s="180">
        <f>IF(J57="-",0,I57*J57)</f>
        <v>18103436.6</v>
      </c>
      <c r="L57" s="181">
        <f>IF(H57="-","-",K57*H57)</f>
        <v>4525859.15</v>
      </c>
      <c r="M57" s="182">
        <f>IF($H57="-","-",(($K57/(-0.8+1)*((1/(1-$H57))^(-0.8+1)-1))))</f>
        <v>5360775.258178245</v>
      </c>
      <c r="N57" s="182">
        <f>IF($H57="-","-",(($K57/(-1.2+1)*((1/(1-$H57))^(-1.2+1)-1))))</f>
        <v>5061040.972104792</v>
      </c>
      <c r="O57" s="57"/>
    </row>
    <row r="58" spans="1:15" ht="29.25">
      <c r="A58" s="64" t="s">
        <v>192</v>
      </c>
      <c r="B58" s="64" t="s">
        <v>193</v>
      </c>
      <c r="C58" s="192" t="s">
        <v>194</v>
      </c>
      <c r="D58" s="171" t="s">
        <v>40</v>
      </c>
      <c r="E58" s="68" t="s">
        <v>35</v>
      </c>
      <c r="F58" s="68">
        <v>0.4</v>
      </c>
      <c r="G58" s="68">
        <v>0.9</v>
      </c>
      <c r="H58" s="68">
        <v>0.65</v>
      </c>
      <c r="I58" s="69">
        <v>4404.7</v>
      </c>
      <c r="J58" s="70">
        <v>9552</v>
      </c>
      <c r="K58" s="71">
        <f>IF(J58="-",0,I58*J58)</f>
        <v>42073694.4</v>
      </c>
      <c r="L58" s="72">
        <f>IF(H58="-","-",K58*H58)</f>
        <v>27347901.36</v>
      </c>
      <c r="M58" s="73">
        <f>IF($H58="-","-",(($K58/(-0.8+1)*((1/(1-$H58))^(-0.8+1)-1))))</f>
        <v>49149263.879326954</v>
      </c>
      <c r="N58" s="73">
        <f>IF($H58="-","-",(($K58/(-1.2+1)*((1/(1-$H58))^(-1.2+1)-1))))</f>
        <v>39841036.32526504</v>
      </c>
      <c r="O58" s="57"/>
    </row>
    <row r="59" spans="1:15" ht="16.5">
      <c r="A59" s="119" t="s">
        <v>195</v>
      </c>
      <c r="B59" s="119" t="s">
        <v>196</v>
      </c>
      <c r="C59" s="120" t="s">
        <v>197</v>
      </c>
      <c r="D59" s="121" t="s">
        <v>36</v>
      </c>
      <c r="E59" s="194" t="s">
        <v>68</v>
      </c>
      <c r="F59" s="123">
        <v>0</v>
      </c>
      <c r="G59" s="123">
        <v>0</v>
      </c>
      <c r="H59" s="123">
        <v>0</v>
      </c>
      <c r="I59" s="124">
        <v>276.1</v>
      </c>
      <c r="J59" s="125">
        <v>921738</v>
      </c>
      <c r="K59" s="126">
        <f>IF(J59="-",0,I59*J59)</f>
        <v>254491861.8</v>
      </c>
      <c r="L59" s="127">
        <f>IF(H59="-","-",K59*H59)</f>
        <v>0</v>
      </c>
      <c r="M59" s="128">
        <f>IF($H59="-","-",(($K59/(-0.8+1)*((1/(1-$H59))^(-0.8+1)-1))))</f>
        <v>0</v>
      </c>
      <c r="N59" s="128">
        <f>IF($H59="-","-",(($K59/(-1.2+1)*((1/(1-$H59))^(-1.2+1)-1))))</f>
        <v>0</v>
      </c>
      <c r="O59" s="57"/>
    </row>
    <row r="60" spans="1:15" ht="16.5">
      <c r="A60" s="119" t="s">
        <v>198</v>
      </c>
      <c r="B60" s="119" t="s">
        <v>199</v>
      </c>
      <c r="C60" s="120" t="s">
        <v>200</v>
      </c>
      <c r="D60" s="121" t="s">
        <v>36</v>
      </c>
      <c r="E60" s="122" t="s">
        <v>68</v>
      </c>
      <c r="F60" s="123">
        <f>IF(E60="No aumenta",0,IF(E60="Pequeña",0,IF(E60="Moderada",0.1,IF(E60="Grande",0.4,IF(E60="Esencial",0.9,"-")))))</f>
        <v>0</v>
      </c>
      <c r="G60" s="123">
        <f>IF(E60="No aumenta",0,IF(E60="Pequeña",0.1,IF(E60="Moderada",0.4,IF(E60="Grande",0.9,IF(E60="Esencial",1,"-")))))</f>
        <v>0</v>
      </c>
      <c r="H60" s="123">
        <f>IF(F60="-","-",AVERAGE(F60:G60))</f>
        <v>0</v>
      </c>
      <c r="I60" s="124">
        <v>183.6</v>
      </c>
      <c r="J60" s="125">
        <v>362080</v>
      </c>
      <c r="K60" s="126">
        <f>IF(J60="-",0,I60*J60)</f>
        <v>66477888</v>
      </c>
      <c r="L60" s="127">
        <f>IF(H60="-","-",K60*H60)</f>
        <v>0</v>
      </c>
      <c r="M60" s="128">
        <f>IF($H60="-","-",(($K60/(-0.8+1)*((1/(1-$H60))^(-0.8+1)-1))))</f>
        <v>0</v>
      </c>
      <c r="N60" s="128">
        <f>IF($H60="-","-",(($K60/(-1.2+1)*((1/(1-$H60))^(-1.2+1)-1))))</f>
        <v>0</v>
      </c>
      <c r="O60" s="57"/>
    </row>
    <row r="61" spans="1:15" ht="16.5">
      <c r="A61" s="174" t="s">
        <v>201</v>
      </c>
      <c r="B61" s="174" t="s">
        <v>202</v>
      </c>
      <c r="C61" s="195" t="s">
        <v>203</v>
      </c>
      <c r="D61" s="196" t="s">
        <v>44</v>
      </c>
      <c r="E61" s="177" t="s">
        <v>72</v>
      </c>
      <c r="F61" s="177">
        <v>0</v>
      </c>
      <c r="G61" s="177">
        <v>0.1</v>
      </c>
      <c r="H61" s="177">
        <v>0.05</v>
      </c>
      <c r="I61" s="178">
        <v>311.7</v>
      </c>
      <c r="J61" s="179">
        <v>5424</v>
      </c>
      <c r="K61" s="180">
        <f>IF(J61="-",0,I61*J61)</f>
        <v>1690660.8</v>
      </c>
      <c r="L61" s="181">
        <f>IF(H61="-","-",K61*H61)</f>
        <v>84533.04000000001</v>
      </c>
      <c r="M61" s="182">
        <f>IF($H61="-","-",(($K61/(-0.8+1)*((1/(1-$H61))^(-0.8+1)-1))))</f>
        <v>87165.90029814643</v>
      </c>
      <c r="N61" s="182">
        <f>IF($H61="-","-",(($K61/(-1.2+1)*((1/(1-$H61))^(-1.2+1)-1))))</f>
        <v>86276.26609025334</v>
      </c>
      <c r="O61" s="57"/>
    </row>
    <row r="62" spans="1:15" ht="29.25">
      <c r="A62" s="174" t="s">
        <v>204</v>
      </c>
      <c r="B62" s="174" t="s">
        <v>205</v>
      </c>
      <c r="C62" s="175" t="s">
        <v>206</v>
      </c>
      <c r="D62" s="79" t="s">
        <v>44</v>
      </c>
      <c r="E62" s="176" t="s">
        <v>79</v>
      </c>
      <c r="F62" s="177">
        <v>0.1</v>
      </c>
      <c r="G62" s="177">
        <v>0.4</v>
      </c>
      <c r="H62" s="177">
        <v>0.25</v>
      </c>
      <c r="I62" s="178">
        <v>541.8</v>
      </c>
      <c r="J62" s="179">
        <v>182781</v>
      </c>
      <c r="K62" s="180">
        <f>IF(J62="-",0,I62*J62)</f>
        <v>99030745.8</v>
      </c>
      <c r="L62" s="181">
        <f>IF(H62="-","-",K62*H62)</f>
        <v>24757686.45</v>
      </c>
      <c r="M62" s="182">
        <f>IF($H62="-","-",(($K62/(-0.8+1)*((1/(1-$H62))^(-0.8+1)-1))))</f>
        <v>29324905.741022628</v>
      </c>
      <c r="N62" s="182">
        <f>IF($H62="-","-",(($K62/(-1.2+1)*((1/(1-$H62))^(-1.2+1)-1))))</f>
        <v>27685277.279999673</v>
      </c>
      <c r="O62" s="57"/>
    </row>
    <row r="63" spans="1:15" ht="16.5">
      <c r="A63" s="119" t="s">
        <v>207</v>
      </c>
      <c r="B63" s="119" t="s">
        <v>208</v>
      </c>
      <c r="C63" s="120" t="s">
        <v>209</v>
      </c>
      <c r="D63" s="121" t="s">
        <v>36</v>
      </c>
      <c r="E63" s="122" t="s">
        <v>68</v>
      </c>
      <c r="F63" s="123">
        <v>0</v>
      </c>
      <c r="G63" s="123">
        <v>0</v>
      </c>
      <c r="H63" s="123">
        <v>0</v>
      </c>
      <c r="I63" s="124">
        <v>200</v>
      </c>
      <c r="J63" s="125">
        <v>37372</v>
      </c>
      <c r="K63" s="126">
        <f>IF(J63="-",0,I63*J63)</f>
        <v>7474400</v>
      </c>
      <c r="L63" s="127">
        <f>IF(H63="-","-",K63*H63)</f>
        <v>0</v>
      </c>
      <c r="M63" s="128">
        <f>IF($H63="-","-",(($K63/(-0.8+1)*((1/(1-$H63))^(-0.8+1)-1))))</f>
        <v>0</v>
      </c>
      <c r="N63" s="128">
        <f>IF($H63="-","-",(($K63/(-1.2+1)*((1/(1-$H63))^(-1.2+1)-1))))</f>
        <v>0</v>
      </c>
      <c r="O63" s="57"/>
    </row>
    <row r="64" spans="1:15" ht="16.5">
      <c r="A64" s="174" t="s">
        <v>210</v>
      </c>
      <c r="B64" s="174" t="s">
        <v>211</v>
      </c>
      <c r="C64" s="175" t="s">
        <v>212</v>
      </c>
      <c r="D64" s="79" t="s">
        <v>44</v>
      </c>
      <c r="E64" s="176" t="s">
        <v>79</v>
      </c>
      <c r="F64" s="177">
        <v>0.1</v>
      </c>
      <c r="G64" s="177">
        <v>0.4</v>
      </c>
      <c r="H64" s="177">
        <v>0.25</v>
      </c>
      <c r="I64" s="178">
        <v>336.1</v>
      </c>
      <c r="J64" s="179">
        <v>1740</v>
      </c>
      <c r="K64" s="180">
        <f>IF(J64="-",0,I64*J64)</f>
        <v>584814</v>
      </c>
      <c r="L64" s="181">
        <f>IF(H64="-","-",K64*H64)</f>
        <v>146203.5</v>
      </c>
      <c r="M64" s="182">
        <f>IF($H64="-","-",(($K64/(-0.8+1)*((1/(1-$H64))^(-0.8+1)-1))))</f>
        <v>173174.65689560026</v>
      </c>
      <c r="N64" s="182">
        <f>IF($H64="-","-",(($K64/(-1.2+1)*((1/(1-$H64))^(-1.2+1)-1))))</f>
        <v>163492.030847916</v>
      </c>
      <c r="O64" s="57"/>
    </row>
    <row r="65" spans="1:15" ht="16.5">
      <c r="A65" s="85" t="s">
        <v>213</v>
      </c>
      <c r="B65" s="85" t="s">
        <v>214</v>
      </c>
      <c r="C65" s="86" t="s">
        <v>215</v>
      </c>
      <c r="D65" s="87" t="s">
        <v>48</v>
      </c>
      <c r="E65" s="88" t="s">
        <v>68</v>
      </c>
      <c r="F65" s="89">
        <v>0</v>
      </c>
      <c r="G65" s="89">
        <v>0</v>
      </c>
      <c r="H65" s="89">
        <v>0</v>
      </c>
      <c r="I65" s="90">
        <v>508.7</v>
      </c>
      <c r="J65" s="91">
        <v>70571</v>
      </c>
      <c r="K65" s="92">
        <f>IF(J65="-",0,I65*J65)</f>
        <v>35899467.699999996</v>
      </c>
      <c r="L65" s="93">
        <f>IF(H65="-","-",K65*H65)</f>
        <v>0</v>
      </c>
      <c r="M65" s="94">
        <f>IF($H65="-","-",(($K65/(-0.8+1)*((1/(1-$H65))^(-0.8+1)-1))))</f>
        <v>0</v>
      </c>
      <c r="N65" s="94">
        <f>IF($H65="-","-",(($K65/(-1.2+1)*((1/(1-$H65))^(-1.2+1)-1))))</f>
        <v>0</v>
      </c>
      <c r="O65" s="57"/>
    </row>
    <row r="66" spans="1:15" ht="16.5">
      <c r="A66" s="64" t="s">
        <v>216</v>
      </c>
      <c r="B66" s="64" t="s">
        <v>217</v>
      </c>
      <c r="C66" s="65" t="s">
        <v>218</v>
      </c>
      <c r="D66" s="66" t="s">
        <v>40</v>
      </c>
      <c r="E66" s="67" t="s">
        <v>79</v>
      </c>
      <c r="F66" s="68">
        <f>IF(E66="No aumenta",0,IF(E66="Pequeña",0,IF(E66="Moderada",0.1,IF(E66="Grande",0.4,IF(E66="Esencial",0.9,"-")))))</f>
        <v>0.1</v>
      </c>
      <c r="G66" s="68">
        <f>IF(E66="No aumenta",0,IF(E66="Pequeña",0.1,IF(E66="Moderada",0.4,IF(E66="Grande",0.9,IF(E66="Esencial",1,"-")))))</f>
        <v>0.4</v>
      </c>
      <c r="H66" s="68">
        <f>IF(F66="-","-",AVERAGE(F66:G66))</f>
        <v>0.25</v>
      </c>
      <c r="I66" s="69">
        <v>1310.8</v>
      </c>
      <c r="J66" s="70">
        <v>262730</v>
      </c>
      <c r="K66" s="71">
        <f>IF(J66="-",0,I66*J66)</f>
        <v>344386484</v>
      </c>
      <c r="L66" s="72">
        <f>IF(H66="-","-",K66*H66)</f>
        <v>86096621</v>
      </c>
      <c r="M66" s="73">
        <f>IF($H66="-","-",(($K66/(-0.8+1)*((1/(1-$H66))^(-0.8+1)-1))))</f>
        <v>101979451.93887651</v>
      </c>
      <c r="N66" s="73">
        <f>IF($H66="-","-",(($K66/(-1.2+1)*((1/(1-$H66))^(-1.2+1)-1))))</f>
        <v>96277526.98419212</v>
      </c>
      <c r="O66" s="57"/>
    </row>
    <row r="67" spans="1:13" s="1" customFormat="1" ht="29.25">
      <c r="A67" s="197" t="s">
        <v>219</v>
      </c>
      <c r="B67" s="197" t="s">
        <v>220</v>
      </c>
      <c r="C67" s="198" t="s">
        <v>221</v>
      </c>
      <c r="D67" s="113" t="s">
        <v>64</v>
      </c>
      <c r="E67" s="199" t="s">
        <v>68</v>
      </c>
      <c r="F67" s="200">
        <f>IF(E67="No aumenta",0,IF(E67="Pequeña",0,IF(E67="Moderada",0.1,IF(E67="Grande",0.4,IF(E67="Esencial",0.9,"-")))))</f>
        <v>0</v>
      </c>
      <c r="G67" s="200">
        <f>IF(E67="No aumenta",0,IF(E67="Pequeña",0.1,IF(E67="Moderada",0.4,IF(E67="Grande",0.9,IF(E67="Esencial",1,"-")))))</f>
        <v>0</v>
      </c>
      <c r="H67" s="200">
        <f>IF(F67="-","-",AVERAGE(F67:G67))</f>
        <v>0</v>
      </c>
      <c r="I67" s="201">
        <v>31.2</v>
      </c>
      <c r="J67" s="202">
        <v>4188535</v>
      </c>
      <c r="K67" s="203">
        <f>IF(J67="-",0,I67*J67)</f>
        <v>130682292</v>
      </c>
      <c r="L67" s="204">
        <f>IF($H67="-","-",(($K67/(-0.8+1)*((1/(1-$H67))^(-0.8+1)-1))))</f>
        <v>0</v>
      </c>
      <c r="M67" s="57"/>
    </row>
    <row r="68" spans="1:15" ht="29.25">
      <c r="A68" s="174" t="s">
        <v>222</v>
      </c>
      <c r="B68" s="174" t="s">
        <v>223</v>
      </c>
      <c r="C68" s="175" t="s">
        <v>224</v>
      </c>
      <c r="D68" s="79" t="s">
        <v>44</v>
      </c>
      <c r="E68" s="176" t="s">
        <v>79</v>
      </c>
      <c r="F68" s="177">
        <v>0.1</v>
      </c>
      <c r="G68" s="177">
        <v>0.4</v>
      </c>
      <c r="H68" s="177">
        <v>0.25</v>
      </c>
      <c r="I68" s="178">
        <v>380.1</v>
      </c>
      <c r="J68" s="179">
        <v>1090171</v>
      </c>
      <c r="K68" s="180">
        <f>IF(J68="-",0,I68*J68)</f>
        <v>414373997.1</v>
      </c>
      <c r="L68" s="181">
        <f>IF(H68="-","-",K68*H68)</f>
        <v>103593499.275</v>
      </c>
      <c r="M68" s="182">
        <f>IF($H68="-","-",(($K68/(-0.8+1)*((1/(1-$H68))^(-0.8+1)-1))))</f>
        <v>122704098.69505681</v>
      </c>
      <c r="N68" s="182">
        <f>IF($H68="-","-",(($K68/(-1.2+1)*((1/(1-$H68))^(-1.2+1)-1))))</f>
        <v>115843407.16270037</v>
      </c>
      <c r="O68" s="57"/>
    </row>
    <row r="69" spans="1:15" ht="29.25">
      <c r="A69" s="183" t="s">
        <v>225</v>
      </c>
      <c r="B69" s="183" t="s">
        <v>226</v>
      </c>
      <c r="C69" s="184" t="s">
        <v>227</v>
      </c>
      <c r="D69" s="101" t="s">
        <v>54</v>
      </c>
      <c r="E69" s="185" t="s">
        <v>62</v>
      </c>
      <c r="F69" s="186" t="s">
        <v>63</v>
      </c>
      <c r="G69" s="186" t="s">
        <v>63</v>
      </c>
      <c r="H69" s="186" t="s">
        <v>63</v>
      </c>
      <c r="I69" s="187">
        <v>491.4</v>
      </c>
      <c r="J69" s="188">
        <v>20991</v>
      </c>
      <c r="K69" s="189">
        <f>IF(J69="-",0,I69*J69)</f>
        <v>10314977.4</v>
      </c>
      <c r="L69" s="190" t="str">
        <f>IF(H69="-","-",K69*H69)</f>
        <v>-</v>
      </c>
      <c r="M69" s="191" t="str">
        <f>IF($H69="-","-",(($K69/(-0.8+1)*((1/(1-$H69))^(-0.8+1)-1))))</f>
        <v>-</v>
      </c>
      <c r="N69" s="191" t="str">
        <f>IF($H69="-","-",(($K69/(-1.2+1)*((1/(1-$H69))^(-1.2+1)-1))))</f>
        <v>-</v>
      </c>
      <c r="O69" s="57"/>
    </row>
    <row r="70" spans="1:15" ht="96">
      <c r="A70" s="64" t="s">
        <v>228</v>
      </c>
      <c r="B70" s="64" t="s">
        <v>229</v>
      </c>
      <c r="C70" s="65" t="s">
        <v>230</v>
      </c>
      <c r="D70" s="66" t="s">
        <v>40</v>
      </c>
      <c r="E70" s="67" t="s">
        <v>72</v>
      </c>
      <c r="F70" s="68">
        <v>0</v>
      </c>
      <c r="G70" s="68">
        <v>0.1</v>
      </c>
      <c r="H70" s="68">
        <v>0.05</v>
      </c>
      <c r="I70" s="69">
        <v>240.6</v>
      </c>
      <c r="J70" s="70">
        <v>2117119</v>
      </c>
      <c r="K70" s="71">
        <f>IF(J70="-",0,I70*J70)</f>
        <v>509378831.4</v>
      </c>
      <c r="L70" s="72">
        <f>IF(H70="-","-",K70*H70)</f>
        <v>25468941.57</v>
      </c>
      <c r="M70" s="73">
        <f>IF($H70="-","-",(($K70/(-0.8+1)*((1/(1-$H70))^(-0.8+1)-1))))</f>
        <v>26262195.486994635</v>
      </c>
      <c r="N70" s="73">
        <f>IF($H70="-","-",(($K70/(-1.2+1)*((1/(1-$H70))^(-1.2+1)-1))))</f>
        <v>25994157.78647538</v>
      </c>
      <c r="O70" s="57"/>
    </row>
    <row r="71" spans="1:15" ht="16.5">
      <c r="A71" s="85" t="s">
        <v>231</v>
      </c>
      <c r="B71" s="85" t="s">
        <v>232</v>
      </c>
      <c r="C71" s="86" t="s">
        <v>233</v>
      </c>
      <c r="D71" s="87" t="s">
        <v>48</v>
      </c>
      <c r="E71" s="88" t="s">
        <v>72</v>
      </c>
      <c r="F71" s="89">
        <v>0</v>
      </c>
      <c r="G71" s="89">
        <v>0.1</v>
      </c>
      <c r="H71" s="89">
        <v>0.05</v>
      </c>
      <c r="I71" s="90">
        <v>440.6</v>
      </c>
      <c r="J71" s="91">
        <v>3864120</v>
      </c>
      <c r="K71" s="92">
        <f>IF(J71="-",0,I71*J71)</f>
        <v>1702531272</v>
      </c>
      <c r="L71" s="93">
        <f>IF(H71="-","-",K71*H71)</f>
        <v>85126563.60000001</v>
      </c>
      <c r="M71" s="94">
        <f>IF($H71="-","-",(($K71/(-0.8+1)*((1/(1-$H71))^(-0.8+1)-1))))</f>
        <v>87777909.74370994</v>
      </c>
      <c r="N71" s="94">
        <f>IF($H71="-","-",(($K71/(-1.2+1)*((1/(1-$H71))^(-1.2+1)-1))))</f>
        <v>86882029.23380579</v>
      </c>
      <c r="O71" s="57"/>
    </row>
    <row r="72" spans="1:15" ht="29.25">
      <c r="A72" s="47" t="s">
        <v>234</v>
      </c>
      <c r="B72" s="47" t="s">
        <v>235</v>
      </c>
      <c r="C72" s="48" t="s">
        <v>236</v>
      </c>
      <c r="D72" s="49" t="s">
        <v>34</v>
      </c>
      <c r="E72" s="50" t="s">
        <v>68</v>
      </c>
      <c r="F72" s="51" t="s">
        <v>63</v>
      </c>
      <c r="G72" s="51" t="s">
        <v>63</v>
      </c>
      <c r="H72" s="51" t="s">
        <v>63</v>
      </c>
      <c r="I72" s="157">
        <v>2087.7</v>
      </c>
      <c r="J72" s="158">
        <v>13815</v>
      </c>
      <c r="K72" s="54">
        <f>IF(J72="-",0,I72*J72)</f>
        <v>28841575.499999996</v>
      </c>
      <c r="L72" s="55" t="str">
        <f>IF(H72="-","-",K72*H72)</f>
        <v>-</v>
      </c>
      <c r="M72" s="56" t="str">
        <f>IF($H72="-","-",(($K72/(-0.8+1)*((1/(1-$H72))^(-0.8+1)-1))))</f>
        <v>-</v>
      </c>
      <c r="N72" s="56" t="str">
        <f>IF($H72="-","-",(($K72/(-1.2+1)*((1/(1-$H72))^(-1.2+1)-1))))</f>
        <v>-</v>
      </c>
      <c r="O72" s="57"/>
    </row>
    <row r="73" spans="1:15" ht="16.5">
      <c r="A73" s="85" t="s">
        <v>237</v>
      </c>
      <c r="B73" s="85" t="s">
        <v>238</v>
      </c>
      <c r="C73" s="86" t="s">
        <v>239</v>
      </c>
      <c r="D73" s="87" t="s">
        <v>48</v>
      </c>
      <c r="E73" s="88" t="s">
        <v>130</v>
      </c>
      <c r="F73" s="89">
        <v>0.9</v>
      </c>
      <c r="G73" s="89">
        <v>1</v>
      </c>
      <c r="H73" s="89">
        <v>0.95</v>
      </c>
      <c r="I73" s="90">
        <v>243.3</v>
      </c>
      <c r="J73" s="91">
        <v>766301</v>
      </c>
      <c r="K73" s="92">
        <f>IF(J73="-",0,I73*J73)</f>
        <v>186441033.3</v>
      </c>
      <c r="L73" s="93">
        <f>IF(H73="-","-",K73*H73)</f>
        <v>177118981.635</v>
      </c>
      <c r="M73" s="94">
        <f>IF($H73="-","-",(($K73/(-0.8+1)*((1/(1-$H73))^(-0.8+1)-1))))</f>
        <v>764934189.5058668</v>
      </c>
      <c r="N73" s="94">
        <f>IF($H73="-","-",(($K73/(-1.2+1)*((1/(1-$H73))^(-1.2+1)-1))))</f>
        <v>420163259.40849495</v>
      </c>
      <c r="O73" s="57"/>
    </row>
    <row r="74" spans="1:15" ht="29.25">
      <c r="A74" s="119" t="s">
        <v>240</v>
      </c>
      <c r="B74" s="119" t="s">
        <v>241</v>
      </c>
      <c r="C74" s="120" t="s">
        <v>242</v>
      </c>
      <c r="D74" s="121" t="s">
        <v>36</v>
      </c>
      <c r="E74" s="122" t="s">
        <v>68</v>
      </c>
      <c r="F74" s="123">
        <v>0</v>
      </c>
      <c r="G74" s="123">
        <v>0</v>
      </c>
      <c r="H74" s="123">
        <v>0</v>
      </c>
      <c r="I74" s="124">
        <v>230.1</v>
      </c>
      <c r="J74" s="125">
        <v>6876651</v>
      </c>
      <c r="K74" s="126">
        <f>IF(J74="-",0,I74*J74)</f>
        <v>1582317395.1</v>
      </c>
      <c r="L74" s="127">
        <f>IF(H74="-","-",K74*H74)</f>
        <v>0</v>
      </c>
      <c r="M74" s="128">
        <f>IF($H74="-","-",(($K74/(-0.8+1)*((1/(1-$H74))^(-0.8+1)-1))))</f>
        <v>0</v>
      </c>
      <c r="N74" s="128">
        <f>IF($H74="-","-",(($K74/(-1.2+1)*((1/(1-$H74))^(-1.2+1)-1))))</f>
        <v>0</v>
      </c>
      <c r="O74" s="57"/>
    </row>
    <row r="75" spans="1:14" ht="16.5">
      <c r="A75" s="2"/>
      <c r="I75" s="205"/>
      <c r="J75" s="206"/>
      <c r="K75" s="207"/>
      <c r="L75" s="208"/>
      <c r="M75" s="209"/>
      <c r="N75" s="209"/>
    </row>
    <row r="76" spans="1:14" ht="30" customHeight="1">
      <c r="A76" s="210" t="s">
        <v>243</v>
      </c>
      <c r="B76" s="210"/>
      <c r="C76" s="210"/>
      <c r="D76" s="210"/>
      <c r="E76" s="210"/>
      <c r="F76" s="211">
        <f>AVERAGE(F9:F74)</f>
        <v>0.16792452830188678</v>
      </c>
      <c r="G76" s="211">
        <f>AVERAGE(G9:G74)</f>
        <v>0.349056603773585</v>
      </c>
      <c r="H76" s="211">
        <f>AVERAGE(H9:H74)</f>
        <v>0.25849056603773585</v>
      </c>
      <c r="I76" s="212">
        <f>AVERAGE(I9:I74)</f>
        <v>761.8333333333333</v>
      </c>
      <c r="J76" s="213">
        <f>AVERAGE(J9:J74)</f>
        <v>994445.4090909091</v>
      </c>
      <c r="K76" s="214">
        <f>SUM(K9:K74)</f>
        <v>21653266134.499996</v>
      </c>
      <c r="L76" s="215">
        <f>SUM(L9:L74)</f>
        <v>2401339665.87</v>
      </c>
      <c r="M76" s="216">
        <f>SUM(M9:M74)</f>
        <v>5361085807.660188</v>
      </c>
      <c r="N76" s="216">
        <f>SUM(N9:N74)</f>
        <v>3810012499.2160316</v>
      </c>
    </row>
  </sheetData>
  <sheetProtection selectLockedCells="1" selectUnlockedCells="1"/>
  <mergeCells count="10">
    <mergeCell ref="A2:N2"/>
    <mergeCell ref="A3:N3"/>
    <mergeCell ref="P3:V3"/>
    <mergeCell ref="F4:H4"/>
    <mergeCell ref="I4:N4"/>
    <mergeCell ref="M5:N5"/>
    <mergeCell ref="U5:V5"/>
    <mergeCell ref="B6:D6"/>
    <mergeCell ref="E6:H6"/>
    <mergeCell ref="A76:E7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L66"/>
  <sheetViews>
    <sheetView zoomScale="90" zoomScaleNormal="90" workbookViewId="0" topLeftCell="A7">
      <selection activeCell="A9" sqref="A9:A63"/>
    </sheetView>
  </sheetViews>
  <sheetFormatPr defaultColWidth="11.00390625" defaultRowHeight="12.75"/>
  <cols>
    <col min="1" max="1" width="10.75390625" style="1" customWidth="1"/>
    <col min="2" max="2" width="14.00390625" style="2" customWidth="1"/>
    <col min="3" max="3" width="40.75390625" style="3" customWidth="1"/>
    <col min="4" max="4" width="12.75390625" style="1" customWidth="1"/>
    <col min="5" max="5" width="11.75390625" style="4" customWidth="1"/>
    <col min="6" max="8" width="10.75390625" style="4" customWidth="1"/>
    <col min="9" max="9" width="14.625" style="1" customWidth="1"/>
    <col min="10" max="10" width="14.00390625" style="1" customWidth="1"/>
    <col min="11" max="11" width="16.875" style="5" customWidth="1"/>
    <col min="12" max="12" width="15.75390625" style="6" customWidth="1"/>
    <col min="13" max="14" width="15.75390625" style="7" customWidth="1"/>
    <col min="15" max="15" width="10.75390625" style="1" customWidth="1"/>
    <col min="16" max="16" width="12.375" style="1" customWidth="1"/>
    <col min="17" max="17" width="14.125" style="1" customWidth="1"/>
    <col min="18" max="18" width="24.75390625" style="1" customWidth="1"/>
    <col min="19" max="19" width="21.25390625" style="1" customWidth="1"/>
    <col min="20" max="20" width="14.125" style="1" customWidth="1"/>
    <col min="21" max="22" width="18.75390625" style="1" customWidth="1"/>
    <col min="23" max="245" width="10.75390625" style="1" customWidth="1"/>
    <col min="246" max="16384" width="10.75390625" style="0" customWidth="1"/>
  </cols>
  <sheetData>
    <row r="1" spans="2:14" s="8" customFormat="1" ht="12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36.75" customHeight="1">
      <c r="A2" s="248" t="s">
        <v>274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22" s="11" customFormat="1" ht="60.75" customHeight="1">
      <c r="A3" s="248" t="s">
        <v>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P3" s="12" t="s">
        <v>2</v>
      </c>
      <c r="Q3" s="12"/>
      <c r="R3" s="12"/>
      <c r="S3" s="12"/>
      <c r="T3" s="12"/>
      <c r="U3" s="12"/>
      <c r="V3" s="12"/>
    </row>
    <row r="4" spans="6:246" ht="61.5" customHeight="1">
      <c r="F4" s="13" t="s">
        <v>3</v>
      </c>
      <c r="G4" s="13"/>
      <c r="H4" s="13"/>
      <c r="I4" s="14" t="s">
        <v>4</v>
      </c>
      <c r="J4" s="14"/>
      <c r="K4" s="14"/>
      <c r="L4" s="14"/>
      <c r="M4" s="14"/>
      <c r="N4" s="14"/>
      <c r="IL4" s="1"/>
    </row>
    <row r="5" spans="1:246" ht="78.75" customHeight="1">
      <c r="A5" s="15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8" t="s">
        <v>11</v>
      </c>
      <c r="H5" s="17" t="s">
        <v>12</v>
      </c>
      <c r="I5" s="19" t="s">
        <v>13</v>
      </c>
      <c r="J5" s="19" t="s">
        <v>14</v>
      </c>
      <c r="K5" s="20" t="s">
        <v>15</v>
      </c>
      <c r="L5" s="21" t="s">
        <v>16</v>
      </c>
      <c r="M5" s="22" t="s">
        <v>17</v>
      </c>
      <c r="N5" s="22"/>
      <c r="P5" s="16" t="s">
        <v>8</v>
      </c>
      <c r="Q5" s="23" t="s">
        <v>18</v>
      </c>
      <c r="R5" s="20" t="s">
        <v>15</v>
      </c>
      <c r="S5" s="21" t="s">
        <v>16</v>
      </c>
      <c r="T5" s="24" t="s">
        <v>19</v>
      </c>
      <c r="U5" s="22" t="s">
        <v>17</v>
      </c>
      <c r="V5" s="22"/>
      <c r="IL5" s="1"/>
    </row>
    <row r="6" spans="1:246" ht="47.25" customHeight="1">
      <c r="A6" s="25"/>
      <c r="B6" s="26" t="s">
        <v>20</v>
      </c>
      <c r="C6" s="26"/>
      <c r="D6" s="26"/>
      <c r="E6" s="27" t="s">
        <v>21</v>
      </c>
      <c r="F6" s="27"/>
      <c r="G6" s="27"/>
      <c r="H6" s="27"/>
      <c r="I6" s="28" t="s">
        <v>20</v>
      </c>
      <c r="J6" s="28" t="s">
        <v>22</v>
      </c>
      <c r="K6" s="29" t="s">
        <v>23</v>
      </c>
      <c r="L6" s="30" t="s">
        <v>24</v>
      </c>
      <c r="M6" s="31">
        <v>-0.8</v>
      </c>
      <c r="N6" s="31">
        <v>-1.2</v>
      </c>
      <c r="P6" s="32"/>
      <c r="Q6" s="33" t="s">
        <v>25</v>
      </c>
      <c r="R6" s="29" t="s">
        <v>23</v>
      </c>
      <c r="S6" s="30" t="s">
        <v>26</v>
      </c>
      <c r="T6" s="34" t="s">
        <v>27</v>
      </c>
      <c r="U6" s="31">
        <v>-0.8</v>
      </c>
      <c r="V6" s="31">
        <v>-1.2</v>
      </c>
      <c r="IL6" s="1"/>
    </row>
    <row r="7" spans="2:246" ht="27.75" customHeight="1">
      <c r="B7" s="35"/>
      <c r="C7" s="36"/>
      <c r="D7" s="37"/>
      <c r="E7" s="38"/>
      <c r="F7" s="39"/>
      <c r="G7" s="39"/>
      <c r="H7" s="39"/>
      <c r="I7" s="19" t="s">
        <v>28</v>
      </c>
      <c r="J7" s="19" t="s">
        <v>29</v>
      </c>
      <c r="K7" s="40" t="s">
        <v>30</v>
      </c>
      <c r="L7" s="41" t="s">
        <v>30</v>
      </c>
      <c r="M7" s="42" t="s">
        <v>30</v>
      </c>
      <c r="N7" s="42" t="s">
        <v>30</v>
      </c>
      <c r="P7" s="43"/>
      <c r="Q7" s="19"/>
      <c r="R7" s="40"/>
      <c r="S7" s="41"/>
      <c r="T7" s="44"/>
      <c r="U7" s="42"/>
      <c r="V7" s="42"/>
      <c r="IL7" s="1"/>
    </row>
    <row r="8" spans="2:246" ht="16.5">
      <c r="B8" s="35"/>
      <c r="C8" s="36"/>
      <c r="D8" s="37"/>
      <c r="E8" s="38"/>
      <c r="F8" s="39"/>
      <c r="G8" s="39"/>
      <c r="H8" s="39"/>
      <c r="I8" s="19"/>
      <c r="J8" s="19"/>
      <c r="K8" s="40"/>
      <c r="L8" s="41"/>
      <c r="M8" s="42"/>
      <c r="N8" s="42"/>
      <c r="P8" s="43"/>
      <c r="Q8" s="43"/>
      <c r="R8" s="40"/>
      <c r="S8" s="45"/>
      <c r="T8" s="44"/>
      <c r="U8" s="46"/>
      <c r="V8" s="46"/>
      <c r="IL8" s="1"/>
    </row>
    <row r="9" spans="1:22" ht="29.25">
      <c r="A9" s="47" t="s">
        <v>31</v>
      </c>
      <c r="B9" s="47" t="s">
        <v>32</v>
      </c>
      <c r="C9" s="48" t="s">
        <v>33</v>
      </c>
      <c r="D9" s="49" t="s">
        <v>34</v>
      </c>
      <c r="E9" s="50" t="s">
        <v>35</v>
      </c>
      <c r="F9" s="51">
        <v>0.4</v>
      </c>
      <c r="G9" s="51">
        <v>0.9</v>
      </c>
      <c r="H9" s="51">
        <v>0.65</v>
      </c>
      <c r="I9" s="52">
        <v>687.9</v>
      </c>
      <c r="J9" s="53">
        <v>7289</v>
      </c>
      <c r="K9" s="54">
        <f>IF(J9="-",0,I9*J9)</f>
        <v>5014103.1</v>
      </c>
      <c r="L9" s="55">
        <f>IF(H9="-","-",$K9*H9)</f>
        <v>3259167.0149999997</v>
      </c>
      <c r="M9" s="56">
        <f>IF($H9="-","-",(($K9/(-0.8+1)*((1/(1-$H9))^(-0.8+1)-1))))</f>
        <v>5857329.143410124</v>
      </c>
      <c r="N9" s="56">
        <f>IF($H9="-","-",(($K9/(-1.2+1)*((1/(1-$H9))^(-1.2+1)-1))))</f>
        <v>4748027.635665007</v>
      </c>
      <c r="O9" s="57"/>
      <c r="P9" s="58" t="s">
        <v>36</v>
      </c>
      <c r="Q9" s="59">
        <f>SUMIF($D$9:$D$64,$P9,$K$9:$K$64)/SUMIF($D$9:$D$64,$P9,$J$9:$J$64)</f>
        <v>199.70793380479435</v>
      </c>
      <c r="R9" s="217">
        <f>SUMIF($D$9:$D$64,$P9,$K$9:$K$64)</f>
        <v>15362333.1</v>
      </c>
      <c r="S9" s="218">
        <f>SUMIF($D$9:$D$64,$P9,$L$9:$L$64)</f>
        <v>0</v>
      </c>
      <c r="T9" s="62">
        <f>IF(R9=0,"-",S9/R9)</f>
        <v>0</v>
      </c>
      <c r="U9" s="219">
        <f>SUMIF($D$9:$D$64,$P9,$M$9:$M$64)</f>
        <v>0</v>
      </c>
      <c r="V9" s="219">
        <f>SUMIF($D$9:$D$64,$P9,$N$9:$N$64)</f>
        <v>0</v>
      </c>
    </row>
    <row r="10" spans="1:22" ht="16.5">
      <c r="A10" s="64" t="s">
        <v>37</v>
      </c>
      <c r="B10" s="64" t="s">
        <v>38</v>
      </c>
      <c r="C10" s="65" t="s">
        <v>39</v>
      </c>
      <c r="D10" s="66" t="s">
        <v>40</v>
      </c>
      <c r="E10" s="67" t="s">
        <v>35</v>
      </c>
      <c r="F10" s="68">
        <v>0.4</v>
      </c>
      <c r="G10" s="68">
        <v>0.9</v>
      </c>
      <c r="H10" s="68">
        <v>0.65</v>
      </c>
      <c r="I10" s="69">
        <v>342.2</v>
      </c>
      <c r="J10" s="70">
        <v>414</v>
      </c>
      <c r="K10" s="71">
        <f>IF(J10="-",0,I10*J10)</f>
        <v>141670.8</v>
      </c>
      <c r="L10" s="72">
        <f>IF(H10="-","-",K10*H10)</f>
        <v>92086.01999999999</v>
      </c>
      <c r="M10" s="73">
        <f>IF($H10="-","-",(($K10/(-0.8+1)*((1/(1-$H10))^(-0.8+1)-1))))</f>
        <v>165495.70063890927</v>
      </c>
      <c r="N10" s="73">
        <f>IF($H10="-","-",(($K10/(-1.2+1)*((1/(1-$H10))^(-1.2+1)-1))))</f>
        <v>134152.98013452697</v>
      </c>
      <c r="O10" s="57"/>
      <c r="P10" s="66" t="s">
        <v>40</v>
      </c>
      <c r="Q10" s="74">
        <f>SUMIF($D$9:$D$64,$P10,$K$9:$K$64)/SUMIF($D$9:$D$64,$P10,$J$9:$J$64)</f>
        <v>426.06577130346915</v>
      </c>
      <c r="R10" s="220">
        <f>SUMIF($D$9:$D$64,$P10,$K$9:$K$64)</f>
        <v>10119914.2</v>
      </c>
      <c r="S10" s="221">
        <f>SUMIF($D$9:$D$64,$P10,$L$9:$L$64)</f>
        <v>1276475.8399999999</v>
      </c>
      <c r="T10" s="77">
        <f>IF(R10=0,"-",S10/R10)</f>
        <v>0.12613504569040712</v>
      </c>
      <c r="U10" s="222">
        <f>SUMIF($D$9:$D$64,$P10,$M$9:$M$64)</f>
        <v>1899409.141171328</v>
      </c>
      <c r="V10" s="222">
        <f>SUMIF($D$9:$D$64,$P10,$N$9:$N$64)</f>
        <v>1635072.1125111706</v>
      </c>
    </row>
    <row r="11" spans="1:22" ht="29.25">
      <c r="A11" s="64" t="s">
        <v>41</v>
      </c>
      <c r="B11" s="64" t="s">
        <v>42</v>
      </c>
      <c r="C11" s="65" t="s">
        <v>43</v>
      </c>
      <c r="D11" s="66" t="s">
        <v>40</v>
      </c>
      <c r="E11" s="67" t="s">
        <v>35</v>
      </c>
      <c r="F11" s="68">
        <v>0.4</v>
      </c>
      <c r="G11" s="68">
        <v>0.9</v>
      </c>
      <c r="H11" s="68">
        <v>0.65</v>
      </c>
      <c r="I11" s="69">
        <v>745.8</v>
      </c>
      <c r="J11" s="70">
        <v>188</v>
      </c>
      <c r="K11" s="71">
        <f>IF(J11="-",0,I11*J11)</f>
        <v>140210.4</v>
      </c>
      <c r="L11" s="72">
        <f>IF(H11="-","-",K11*H11)</f>
        <v>91136.76</v>
      </c>
      <c r="M11" s="73">
        <f>IF($H11="-","-",(($K11/(-0.8+1)*((1/(1-$H11))^(-0.8+1)-1))))</f>
        <v>163789.7039111922</v>
      </c>
      <c r="N11" s="73">
        <f>IF($H11="-","-",(($K11/(-1.2+1)*((1/(1-$H11))^(-1.2+1)-1))))</f>
        <v>132770.07686731548</v>
      </c>
      <c r="O11" s="57"/>
      <c r="P11" s="79" t="s">
        <v>44</v>
      </c>
      <c r="Q11" s="80">
        <f>SUMIF($D$9:$D$64,$P11,$K$9:$K$64)/SUMIF($D$9:$D$64,$P11,$J$9:$J$64)</f>
        <v>396.4676470588236</v>
      </c>
      <c r="R11" s="223">
        <f>SUMIF($D$9:$D$64,$P11,$K$9:$K$64)</f>
        <v>889673.4000000001</v>
      </c>
      <c r="S11" s="224">
        <f>SUMIF($D$9:$D$64,$P11,$L$9:$L$64)</f>
        <v>1710.45</v>
      </c>
      <c r="T11" s="83">
        <f>IF(R11=0,"-",S11/R11)</f>
        <v>0.001922559447095979</v>
      </c>
      <c r="U11" s="225">
        <f>SUMIF($D$9:$D$64,$P11,$M$9:$M$64)</f>
        <v>2025.9883784388162</v>
      </c>
      <c r="V11" s="225">
        <f>SUMIF($D$9:$D$64,$P11,$N$9:$N$64)</f>
        <v>1912.7103261126986</v>
      </c>
    </row>
    <row r="12" spans="1:22" ht="42.75">
      <c r="A12" s="85" t="s">
        <v>45</v>
      </c>
      <c r="B12" s="85" t="s">
        <v>46</v>
      </c>
      <c r="C12" s="86" t="s">
        <v>47</v>
      </c>
      <c r="D12" s="87" t="s">
        <v>48</v>
      </c>
      <c r="E12" s="88" t="s">
        <v>49</v>
      </c>
      <c r="F12" s="89" t="str">
        <f>IF(E12="No aumenta",0,IF(E12="Pequeña",0,IF(E12="Moderada",0.1,IF(E12="Grande",0.4,IF(E12="Esencial",0.9,"-")))))</f>
        <v>-</v>
      </c>
      <c r="G12" s="89" t="str">
        <f>IF(E12="No aumenta",0,IF(E12="Pequeña",0.1,IF(E12="Moderada",0.4,IF(E12="Grande",0.9,IF(E12="Esencial",1,"-")))))</f>
        <v>-</v>
      </c>
      <c r="H12" s="89" t="str">
        <f>IF(F12="-","-",AVERAGE(F12:G12))</f>
        <v>-</v>
      </c>
      <c r="I12" s="90">
        <v>661.2</v>
      </c>
      <c r="J12" s="91">
        <v>1648</v>
      </c>
      <c r="K12" s="92">
        <f>IF(J12="-",0,I12*J12)</f>
        <v>1089657.6</v>
      </c>
      <c r="L12" s="93" t="str">
        <f>IF(H12="-","-",K12*H12)</f>
        <v>-</v>
      </c>
      <c r="M12" s="94" t="str">
        <f>IF($H12="-","-",(($K12/(-0.8+1)*((1/(1-$H12))^(-0.8+1)-1))))</f>
        <v>-</v>
      </c>
      <c r="N12" s="94" t="str">
        <f>IF($H12="-","-",(($K12/(-1.2+1)*((1/(1-$H12))^(-1.2+1)-1))))</f>
        <v>-</v>
      </c>
      <c r="O12" s="57"/>
      <c r="P12" s="95" t="s">
        <v>50</v>
      </c>
      <c r="Q12" s="96">
        <f>SUMIF($D$9:$D$64,$P12,$K$9:$K$64)/SUMIF($D$9:$D$64,$P12,$J$9:$J$64)</f>
        <v>284.975</v>
      </c>
      <c r="R12" s="226">
        <f>SUMIF($D$9:$D$64,$P12,$K$9:$K$64)</f>
        <v>632644.5</v>
      </c>
      <c r="S12" s="227">
        <f>SUMIF($D$9:$D$64,$P12,$L$9:$L$64)</f>
        <v>95043.175</v>
      </c>
      <c r="T12" s="99">
        <f>IF(R12=0,"-",S12/R12)</f>
        <v>0.15023156764976223</v>
      </c>
      <c r="U12" s="228">
        <f>SUMIF($D$9:$D$64,$P12,$M$9:$M$64)</f>
        <v>112576.43777948881</v>
      </c>
      <c r="V12" s="228">
        <f>SUMIF($D$9:$D$64,$P12,$N$9:$N$64)</f>
        <v>106282.00897368311</v>
      </c>
    </row>
    <row r="13" spans="1:22" ht="29.25">
      <c r="A13" s="64" t="s">
        <v>55</v>
      </c>
      <c r="B13" s="64" t="s">
        <v>56</v>
      </c>
      <c r="C13" s="65" t="s">
        <v>57</v>
      </c>
      <c r="D13" s="66" t="s">
        <v>40</v>
      </c>
      <c r="E13" s="67" t="s">
        <v>35</v>
      </c>
      <c r="F13" s="68">
        <v>0.4</v>
      </c>
      <c r="G13" s="68">
        <v>0.9</v>
      </c>
      <c r="H13" s="68">
        <v>0.65</v>
      </c>
      <c r="I13" s="69">
        <v>1312.2</v>
      </c>
      <c r="J13" s="70">
        <v>60</v>
      </c>
      <c r="K13" s="71">
        <f>IF(J13="-",0,I13*J13)</f>
        <v>78732</v>
      </c>
      <c r="L13" s="72">
        <f>IF(H13="-","-",K13*H13)</f>
        <v>51175.8</v>
      </c>
      <c r="M13" s="73">
        <f>IF($H13="-","-",(($K13/(-0.8+1)*((1/(1-$H13))^(-0.8+1)-1))))</f>
        <v>91972.42835293234</v>
      </c>
      <c r="N13" s="73">
        <f>IF($H13="-","-",(($K13/(-1.2+1)*((1/(1-$H13))^(-1.2+1)-1))))</f>
        <v>74554.05370726768</v>
      </c>
      <c r="O13" s="57"/>
      <c r="P13" s="101" t="s">
        <v>54</v>
      </c>
      <c r="Q13" s="102">
        <f>SUMIF($D$9:$D$64,$P13,$K$9:$K$64)/SUMIF($D$9:$D$64,$P13,$J$9:$J$64)</f>
        <v>217.20719663617902</v>
      </c>
      <c r="R13" s="229">
        <f>SUMIF($D$9:$D$64,$P13,$K$9:$K$64)</f>
        <v>12087797.7</v>
      </c>
      <c r="S13" s="230">
        <f>SUMIF($D$9:$D$64,$P13,$L$9:$L$64)</f>
        <v>0</v>
      </c>
      <c r="T13" s="105">
        <f>IF(R13=0,"-",S13/R13)</f>
        <v>0</v>
      </c>
      <c r="U13" s="231">
        <f>SUMIF($D$9:$D$64,$P13,$M$9:$M$64)</f>
        <v>0</v>
      </c>
      <c r="V13" s="231">
        <f>SUMIF($D$9:$D$64,$P13,$N$9:$N$64)</f>
        <v>0</v>
      </c>
    </row>
    <row r="14" spans="1:22" ht="42.75">
      <c r="A14" s="64" t="s">
        <v>59</v>
      </c>
      <c r="B14" s="64" t="s">
        <v>60</v>
      </c>
      <c r="C14" s="65" t="s">
        <v>61</v>
      </c>
      <c r="D14" s="66" t="s">
        <v>40</v>
      </c>
      <c r="E14" s="67" t="s">
        <v>62</v>
      </c>
      <c r="F14" s="68" t="s">
        <v>63</v>
      </c>
      <c r="G14" s="68" t="s">
        <v>63</v>
      </c>
      <c r="H14" s="68" t="s">
        <v>63</v>
      </c>
      <c r="I14" s="69">
        <v>580.2</v>
      </c>
      <c r="J14" s="70">
        <v>50</v>
      </c>
      <c r="K14" s="71">
        <f>IF(J14="-",0,I14*J14)</f>
        <v>29010.000000000004</v>
      </c>
      <c r="L14" s="72" t="str">
        <f>IF(H14="-","-",K14*H14)</f>
        <v>-</v>
      </c>
      <c r="M14" s="73" t="str">
        <f>IF($H14="-","-",(($K14/(-0.8+1)*((1/(1-$H14))^(-0.8+1)-1))))</f>
        <v>-</v>
      </c>
      <c r="N14" s="73" t="str">
        <f>IF($H14="-","-",(($K14/(-1.2+1)*((1/(1-$H14))^(-1.2+1)-1))))</f>
        <v>-</v>
      </c>
      <c r="O14" s="57"/>
      <c r="P14" s="49" t="s">
        <v>34</v>
      </c>
      <c r="Q14" s="129">
        <f>SUMIF($D$9:$D$64,$P14,$K$9:$K$64)/SUMIF($D$9:$D$64,$P14,$J$9:$J$64)</f>
        <v>693.8281147540984</v>
      </c>
      <c r="R14" s="232">
        <f>SUMIF($D$9:$D$64,$P14,$K$9:$K$64)</f>
        <v>5078821.8</v>
      </c>
      <c r="S14" s="233">
        <f>SUMIF($D$9:$D$64,$P14,$L$9:$L$64)</f>
        <v>3259167.0149999997</v>
      </c>
      <c r="T14" s="132">
        <f>IF(R14=0,"-",S14/R14)</f>
        <v>0.6417171429405142</v>
      </c>
      <c r="U14" s="234">
        <f>SUMIF($D$9:$D$64,$P14,$M$9:$M$64)</f>
        <v>5857329.143410124</v>
      </c>
      <c r="V14" s="234">
        <f>SUMIF($D$9:$D$64,$P14,$N$9:$N$64)</f>
        <v>4748027.635665007</v>
      </c>
    </row>
    <row r="15" spans="1:22" ht="16.5">
      <c r="A15" s="119" t="s">
        <v>65</v>
      </c>
      <c r="B15" s="119" t="s">
        <v>66</v>
      </c>
      <c r="C15" s="120" t="s">
        <v>67</v>
      </c>
      <c r="D15" s="121" t="s">
        <v>36</v>
      </c>
      <c r="E15" s="122" t="s">
        <v>68</v>
      </c>
      <c r="F15" s="123">
        <v>0</v>
      </c>
      <c r="G15" s="123">
        <v>0</v>
      </c>
      <c r="H15" s="123">
        <v>0</v>
      </c>
      <c r="I15" s="124">
        <v>194.8</v>
      </c>
      <c r="J15" s="125">
        <v>46065</v>
      </c>
      <c r="K15" s="126">
        <f>IF(J15="-",0,I15*J15)</f>
        <v>8973462</v>
      </c>
      <c r="L15" s="127">
        <f>IF(H15="-","-",K15*H15)</f>
        <v>0</v>
      </c>
      <c r="M15" s="128">
        <f>IF($H15="-","-",(($K15/(-0.8+1)*((1/(1-$H15))^(-0.8+1)-1))))</f>
        <v>0</v>
      </c>
      <c r="N15" s="128">
        <f>IF($H15="-","-",(($K15/(-1.2+1)*((1/(1-$H15))^(-1.2+1)-1))))</f>
        <v>0</v>
      </c>
      <c r="O15" s="57"/>
      <c r="P15" s="87" t="s">
        <v>48</v>
      </c>
      <c r="Q15" s="143">
        <f>SUMIF($D$9:$D$64,$P15,$K$9:$K$64)/SUMIF($D$9:$D$64,$P15,$J$9:$J$64)</f>
        <v>358.72931150374495</v>
      </c>
      <c r="R15" s="235">
        <f>SUMIF($D$9:$D$64,$P15,$K$9:$K$64)</f>
        <v>22414842.3</v>
      </c>
      <c r="S15" s="236">
        <f>SUMIF($D$9:$D$64,$P15,$L$9:$L$64)</f>
        <v>4621595.865</v>
      </c>
      <c r="T15" s="146">
        <f>IF(R15=0,"-",S15/R15)</f>
        <v>0.20618462548808564</v>
      </c>
      <c r="U15" s="237">
        <f>SUMIF($D$9:$D$64,$P15,$M$9:$M$64)</f>
        <v>17867590.121764187</v>
      </c>
      <c r="V15" s="237">
        <f>SUMIF($D$9:$D$64,$P15,$N$9:$N$64)</f>
        <v>10135809.870381366</v>
      </c>
    </row>
    <row r="16" spans="1:22" ht="42.75">
      <c r="A16" s="134" t="s">
        <v>69</v>
      </c>
      <c r="B16" s="134" t="s">
        <v>70</v>
      </c>
      <c r="C16" s="135" t="s">
        <v>71</v>
      </c>
      <c r="D16" s="95" t="s">
        <v>50</v>
      </c>
      <c r="E16" s="136" t="s">
        <v>72</v>
      </c>
      <c r="F16" s="137">
        <v>0</v>
      </c>
      <c r="G16" s="137">
        <v>0.1</v>
      </c>
      <c r="H16" s="137">
        <v>0.05</v>
      </c>
      <c r="I16" s="138">
        <v>1857.6</v>
      </c>
      <c r="J16" s="139"/>
      <c r="K16" s="140">
        <f>IF(J16="-",0,I16*J16)</f>
        <v>0</v>
      </c>
      <c r="L16" s="141">
        <f>IF(H16="-","-",K16*H16)</f>
        <v>0</v>
      </c>
      <c r="M16" s="142">
        <f>IF($H16="-","-",(($K16/(-0.8+1)*((1/(1-$H16))^(-0.8+1)-1))))</f>
        <v>0</v>
      </c>
      <c r="N16" s="142">
        <f>IF($H16="-","-",(($K16/(-1.2+1)*((1/(1-$H16))^(-1.2+1)-1))))</f>
        <v>0</v>
      </c>
      <c r="O16" s="57"/>
      <c r="P16" s="57"/>
      <c r="Q16" s="57"/>
      <c r="R16" s="238"/>
      <c r="S16" s="239"/>
      <c r="T16" s="150"/>
      <c r="U16" s="240"/>
      <c r="V16" s="240"/>
    </row>
    <row r="17" spans="1:22" ht="29.25">
      <c r="A17" s="85" t="s">
        <v>73</v>
      </c>
      <c r="B17" s="85" t="s">
        <v>74</v>
      </c>
      <c r="C17" s="86" t="s">
        <v>75</v>
      </c>
      <c r="D17" s="87" t="s">
        <v>48</v>
      </c>
      <c r="E17" s="88" t="s">
        <v>72</v>
      </c>
      <c r="F17" s="89">
        <v>0</v>
      </c>
      <c r="G17" s="89">
        <v>0.1</v>
      </c>
      <c r="H17" s="89">
        <v>0.05</v>
      </c>
      <c r="I17" s="90">
        <v>1536</v>
      </c>
      <c r="J17" s="91">
        <v>460</v>
      </c>
      <c r="K17" s="92">
        <f>IF(J17="-",0,I17*J17)</f>
        <v>706560</v>
      </c>
      <c r="L17" s="93">
        <f>IF(H17="-","-",K17*H17)</f>
        <v>35328</v>
      </c>
      <c r="M17" s="94">
        <f>IF($H17="-","-",(($K17/(-0.8+1)*((1/(1-$H17))^(-0.8+1)-1))))</f>
        <v>36428.32347840463</v>
      </c>
      <c r="N17" s="94">
        <f>IF($H17="-","-",(($K17/(-1.2+1)*((1/(1-$H17))^(-1.2+1)-1))))</f>
        <v>36056.52805620702</v>
      </c>
      <c r="O17" s="57"/>
      <c r="P17" s="152" t="s">
        <v>80</v>
      </c>
      <c r="Q17" s="152"/>
      <c r="R17" s="241">
        <f>SUM(R9:R15)</f>
        <v>66586027</v>
      </c>
      <c r="S17" s="242">
        <f>SUM(S9:S15)</f>
        <v>9253992.344999999</v>
      </c>
      <c r="T17" s="155">
        <f>IF(R17=0,"-",S17/R17)</f>
        <v>0.13897799225954716</v>
      </c>
      <c r="U17" s="243">
        <f>SUM(U9:U15)</f>
        <v>25738930.83250357</v>
      </c>
      <c r="V17" s="243">
        <f>SUM(V9:V15)</f>
        <v>16627104.337857341</v>
      </c>
    </row>
    <row r="18" spans="1:20" ht="42.75">
      <c r="A18" s="134" t="s">
        <v>254</v>
      </c>
      <c r="B18" s="134" t="s">
        <v>77</v>
      </c>
      <c r="C18" s="135" t="s">
        <v>78</v>
      </c>
      <c r="D18" s="95" t="s">
        <v>50</v>
      </c>
      <c r="E18" s="136" t="s">
        <v>79</v>
      </c>
      <c r="F18" s="137">
        <v>0.1</v>
      </c>
      <c r="G18" s="137">
        <v>0.4</v>
      </c>
      <c r="H18" s="137">
        <v>0.25</v>
      </c>
      <c r="I18" s="138">
        <v>256.7</v>
      </c>
      <c r="J18" s="139">
        <v>1481</v>
      </c>
      <c r="K18" s="140">
        <f>IF(J18="-",0,I18*J18)</f>
        <v>380172.7</v>
      </c>
      <c r="L18" s="141">
        <f>IF(H18="-","-",K18*H18)</f>
        <v>95043.175</v>
      </c>
      <c r="M18" s="142">
        <f>IF($H18="-","-",(($K18/(-0.8+1)*((1/(1-$H18))^(-0.8+1)-1))))</f>
        <v>112576.43777948881</v>
      </c>
      <c r="N18" s="142">
        <f>IF($H18="-","-",(($K18/(-1.2+1)*((1/(1-$H18))^(-1.2+1)-1))))</f>
        <v>106282.00897368311</v>
      </c>
      <c r="O18" s="57"/>
      <c r="R18"/>
      <c r="S18"/>
      <c r="T18"/>
    </row>
    <row r="19" spans="1:20" ht="42.75">
      <c r="A19" s="85" t="s">
        <v>81</v>
      </c>
      <c r="B19" s="85" t="s">
        <v>82</v>
      </c>
      <c r="C19" s="86" t="s">
        <v>83</v>
      </c>
      <c r="D19" s="87" t="s">
        <v>48</v>
      </c>
      <c r="E19" s="88" t="s">
        <v>49</v>
      </c>
      <c r="F19" s="89" t="str">
        <f>IF(E19="No aumenta",0,IF(E19="Pequeña",0,IF(E19="Moderada",0.1,IF(E19="Grande",0.4,IF(E19="Esencial",0.9,"-")))))</f>
        <v>-</v>
      </c>
      <c r="G19" s="89" t="str">
        <f>IF(E19="No aumenta",0,IF(E19="Pequeña",0.1,IF(E19="Moderada",0.4,IF(E19="Grande",0.9,IF(E19="Esencial",1,"-")))))</f>
        <v>-</v>
      </c>
      <c r="H19" s="89" t="str">
        <f>IF(F19="-","-",AVERAGE(F19:G19))</f>
        <v>-</v>
      </c>
      <c r="I19" s="90">
        <v>247</v>
      </c>
      <c r="J19" s="91">
        <v>4031</v>
      </c>
      <c r="K19" s="92">
        <f>IF(J19="-",0,I19*J19)</f>
        <v>995657</v>
      </c>
      <c r="L19" s="93" t="str">
        <f>IF(H19="-","-",K19*H19)</f>
        <v>-</v>
      </c>
      <c r="M19" s="94" t="str">
        <f>IF($H19="-","-",(($K19/(-0.8+1)*((1/(1-$H19))^(-0.8+1)-1))))</f>
        <v>-</v>
      </c>
      <c r="N19" s="94" t="str">
        <f>IF($H19="-","-",(($K19/(-1.2+1)*((1/(1-$H19))^(-1.2+1)-1))))</f>
        <v>-</v>
      </c>
      <c r="O19" s="57"/>
      <c r="R19"/>
      <c r="S19"/>
      <c r="T19"/>
    </row>
    <row r="20" spans="1:20" ht="42.75">
      <c r="A20" s="85" t="s">
        <v>84</v>
      </c>
      <c r="B20" s="85" t="s">
        <v>85</v>
      </c>
      <c r="C20" s="86" t="s">
        <v>86</v>
      </c>
      <c r="D20" s="87" t="s">
        <v>48</v>
      </c>
      <c r="E20" s="88" t="s">
        <v>49</v>
      </c>
      <c r="F20" s="89" t="str">
        <f>IF(E20="No aumenta",0,IF(E20="Pequeña",0,IF(E20="Moderada",0.1,IF(E20="Grande",0.4,IF(E20="Esencial",0.9,"-")))))</f>
        <v>-</v>
      </c>
      <c r="G20" s="89" t="str">
        <f>IF(E20="No aumenta",0,IF(E20="Pequeña",0.1,IF(E20="Moderada",0.4,IF(E20="Grande",0.9,IF(E20="Esencial",1,"-")))))</f>
        <v>-</v>
      </c>
      <c r="H20" s="89" t="str">
        <f>IF(F20="-","-",AVERAGE(F20:G20))</f>
        <v>-</v>
      </c>
      <c r="I20" s="90">
        <v>283.4</v>
      </c>
      <c r="J20" s="91">
        <v>1536</v>
      </c>
      <c r="K20" s="92">
        <f>IF(J20="-",0,I20*J20)</f>
        <v>435302.39999999997</v>
      </c>
      <c r="L20" s="93" t="str">
        <f>IF(H20="-","-",K20*H20)</f>
        <v>-</v>
      </c>
      <c r="M20" s="94" t="str">
        <f>IF($H20="-","-",(($K20/(-0.8+1)*((1/(1-$H20))^(-0.8+1)-1))))</f>
        <v>-</v>
      </c>
      <c r="N20" s="94" t="str">
        <f>IF($H20="-","-",(($K20/(-1.2+1)*((1/(1-$H20))^(-1.2+1)-1))))</f>
        <v>-</v>
      </c>
      <c r="O20" s="57"/>
      <c r="R20"/>
      <c r="S20"/>
      <c r="T20"/>
    </row>
    <row r="21" spans="1:15" ht="42.75">
      <c r="A21" s="85" t="s">
        <v>250</v>
      </c>
      <c r="B21" s="85" t="s">
        <v>88</v>
      </c>
      <c r="C21" s="86" t="s">
        <v>83</v>
      </c>
      <c r="D21" s="87" t="s">
        <v>48</v>
      </c>
      <c r="E21" s="88" t="s">
        <v>49</v>
      </c>
      <c r="F21" s="89" t="str">
        <f>IF(E21="No aumenta",0,IF(E21="Pequeña",0,IF(E21="Moderada",0.1,IF(E21="Grande",0.4,IF(E21="Esencial",0.9,"-")))))</f>
        <v>-</v>
      </c>
      <c r="G21" s="89" t="str">
        <f>IF(E21="No aumenta",0,IF(E21="Pequeña",0.1,IF(E21="Moderada",0.4,IF(E21="Grande",0.9,IF(E21="Esencial",1,"-")))))</f>
        <v>-</v>
      </c>
      <c r="H21" s="89" t="str">
        <f>IF(F21="-","-",AVERAGE(F21:G21))</f>
        <v>-</v>
      </c>
      <c r="I21" s="90">
        <v>325.3</v>
      </c>
      <c r="J21" s="91">
        <v>2608</v>
      </c>
      <c r="K21" s="92">
        <f>IF(J21="-",0,I21*J21)</f>
        <v>848382.4</v>
      </c>
      <c r="L21" s="93" t="str">
        <f>IF(H21="-","-",K21*H21)</f>
        <v>-</v>
      </c>
      <c r="M21" s="94" t="str">
        <f>IF($H21="-","-",(($K21/(-0.8+1)*((1/(1-$H21))^(-0.8+1)-1))))</f>
        <v>-</v>
      </c>
      <c r="N21" s="94" t="str">
        <f>IF($H21="-","-",(($K21/(-1.2+1)*((1/(1-$H21))^(-1.2+1)-1))))</f>
        <v>-</v>
      </c>
      <c r="O21" s="57"/>
    </row>
    <row r="22" spans="1:15" ht="29.25">
      <c r="A22" s="64" t="s">
        <v>246</v>
      </c>
      <c r="B22" s="64" t="s">
        <v>90</v>
      </c>
      <c r="C22" s="65" t="s">
        <v>91</v>
      </c>
      <c r="D22" s="66" t="s">
        <v>40</v>
      </c>
      <c r="E22" s="67" t="s">
        <v>35</v>
      </c>
      <c r="F22" s="68">
        <f>IF(E22="No aumenta",0,IF(E22="Pequeña",0,IF(E22="Moderada",0.1,IF(E22="Grande",0.4,IF(E22="Esencial",0.9,"-")))))</f>
        <v>0.4</v>
      </c>
      <c r="G22" s="68">
        <f>IF(E22="No aumenta",0,IF(E22="Pequeña",0.1,IF(E22="Moderada",0.4,IF(E22="Grande",0.9,IF(E22="Esencial",1,"-")))))</f>
        <v>0.9</v>
      </c>
      <c r="H22" s="68">
        <f>IF(F22="-","-",AVERAGE(F22:G22))</f>
        <v>0.65</v>
      </c>
      <c r="I22" s="69">
        <v>1344.2</v>
      </c>
      <c r="J22" s="70">
        <v>77</v>
      </c>
      <c r="K22" s="71">
        <f>IF(J22="-",0,I22*J22)</f>
        <v>103503.40000000001</v>
      </c>
      <c r="L22" s="72">
        <f>IF(H22="-","-",K22*H22)</f>
        <v>67277.21</v>
      </c>
      <c r="M22" s="73">
        <f>IF($H22="-","-",(($K22/(-0.8+1)*((1/(1-$H22))^(-0.8+1)-1))))</f>
        <v>120909.65605833584</v>
      </c>
      <c r="N22" s="73">
        <f>IF($H22="-","-",(($K22/(-1.2+1)*((1/(1-$H22))^(-1.2+1)-1))))</f>
        <v>98010.94907388114</v>
      </c>
      <c r="O22" s="57"/>
    </row>
    <row r="23" spans="1:15" ht="16.5">
      <c r="A23" s="47" t="s">
        <v>92</v>
      </c>
      <c r="B23" s="47" t="s">
        <v>93</v>
      </c>
      <c r="C23" s="48" t="s">
        <v>94</v>
      </c>
      <c r="D23" s="49" t="s">
        <v>34</v>
      </c>
      <c r="E23" s="50" t="s">
        <v>79</v>
      </c>
      <c r="F23" s="51">
        <f>IF(E23="No aumenta",0,IF(E23="Pequeña",0,IF(E23="Moderada",0.1,IF(E23="Grande",0.4,IF(E23="Esencial",0.9,"-")))))</f>
        <v>0.1</v>
      </c>
      <c r="G23" s="51">
        <f>IF(E23="No aumenta",0,IF(E23="Pequeña",0.1,IF(E23="Moderada",0.4,IF(E23="Grande",0.9,IF(E23="Esencial",1,"-")))))</f>
        <v>0.4</v>
      </c>
      <c r="H23" s="51">
        <f>IF(F23="-","-",AVERAGE(F23:G23))</f>
        <v>0.25</v>
      </c>
      <c r="I23" s="157">
        <v>1532.8</v>
      </c>
      <c r="J23" s="158"/>
      <c r="K23" s="54">
        <f>IF(J23="-",0,I23*J23)</f>
        <v>0</v>
      </c>
      <c r="L23" s="55">
        <f>IF(H23="-","-",K23*H23)</f>
        <v>0</v>
      </c>
      <c r="M23" s="56">
        <f>IF($H23="-","-",(($K23/(-0.8+1)*((1/(1-$H23))^(-0.8+1)-1))))</f>
        <v>0</v>
      </c>
      <c r="N23" s="56">
        <f>IF($H23="-","-",(($K23/(-1.2+1)*((1/(1-$H23))^(-1.2+1)-1))))</f>
        <v>0</v>
      </c>
      <c r="O23" s="57"/>
    </row>
    <row r="24" spans="1:15" ht="16.5">
      <c r="A24" s="134" t="s">
        <v>95</v>
      </c>
      <c r="B24" s="134" t="s">
        <v>96</v>
      </c>
      <c r="C24" s="135" t="s">
        <v>97</v>
      </c>
      <c r="D24" s="95" t="s">
        <v>50</v>
      </c>
      <c r="E24" s="136" t="s">
        <v>68</v>
      </c>
      <c r="F24" s="137">
        <v>0</v>
      </c>
      <c r="G24" s="137">
        <v>0</v>
      </c>
      <c r="H24" s="137">
        <v>0</v>
      </c>
      <c r="I24" s="138">
        <v>652.7</v>
      </c>
      <c r="J24" s="139">
        <v>202</v>
      </c>
      <c r="K24" s="140">
        <f>IF(J24="-",0,I24*J24)</f>
        <v>131845.40000000002</v>
      </c>
      <c r="L24" s="141">
        <f>IF(H24="-","-",K24*H24)</f>
        <v>0</v>
      </c>
      <c r="M24" s="142">
        <f>IF($H24="-","-",(($K24/(-0.8+1)*((1/(1-$H24))^(-0.8+1)-1))))</f>
        <v>0</v>
      </c>
      <c r="N24" s="142">
        <f>IF($H24="-","-",(($K24/(-1.2+1)*((1/(1-$H24))^(-1.2+1)-1))))</f>
        <v>0</v>
      </c>
      <c r="O24" s="57"/>
    </row>
    <row r="25" spans="1:15" ht="29.25">
      <c r="A25" s="85" t="s">
        <v>101</v>
      </c>
      <c r="B25" s="85" t="s">
        <v>102</v>
      </c>
      <c r="C25" s="86" t="s">
        <v>100</v>
      </c>
      <c r="D25" s="87" t="s">
        <v>48</v>
      </c>
      <c r="E25" s="88" t="s">
        <v>72</v>
      </c>
      <c r="F25" s="89">
        <v>0</v>
      </c>
      <c r="G25" s="89">
        <v>0.1</v>
      </c>
      <c r="H25" s="89">
        <v>0.05</v>
      </c>
      <c r="I25" s="90">
        <v>708.5</v>
      </c>
      <c r="J25" s="91">
        <v>2548</v>
      </c>
      <c r="K25" s="92">
        <f>IF(J25="-",0,I25*J25)</f>
        <v>1805258</v>
      </c>
      <c r="L25" s="93">
        <f>IF(H25="-","-",K25*H25)</f>
        <v>90262.90000000001</v>
      </c>
      <c r="M25" s="94">
        <f>IF($H25="-","-",(($K25/(-0.8+1)*((1/(1-$H25))^(-0.8+1)-1))))</f>
        <v>93074.22212689336</v>
      </c>
      <c r="N25" s="94">
        <f>IF($H25="-","-",(($K25/(-1.2+1)*((1/(1-$H25))^(-1.2+1)-1))))</f>
        <v>92124.28629655254</v>
      </c>
      <c r="O25" s="57"/>
    </row>
    <row r="26" spans="1:15" ht="29.25">
      <c r="A26" s="85" t="s">
        <v>103</v>
      </c>
      <c r="B26" s="85" t="s">
        <v>104</v>
      </c>
      <c r="C26" s="86" t="s">
        <v>105</v>
      </c>
      <c r="D26" s="87" t="s">
        <v>48</v>
      </c>
      <c r="E26" s="88" t="s">
        <v>35</v>
      </c>
      <c r="F26" s="89">
        <v>0.4</v>
      </c>
      <c r="G26" s="89">
        <v>0.9</v>
      </c>
      <c r="H26" s="89">
        <v>0.65</v>
      </c>
      <c r="I26" s="90">
        <v>371.5</v>
      </c>
      <c r="J26" s="91">
        <v>1013</v>
      </c>
      <c r="K26" s="92">
        <f>IF(J26="-",0,I26*J26)</f>
        <v>376329.5</v>
      </c>
      <c r="L26" s="93">
        <f>IF(H26="-","-",K26*H26)</f>
        <v>244614.17500000002</v>
      </c>
      <c r="M26" s="94">
        <f>IF($H26="-","-",(($K26/(-0.8+1)*((1/(1-$H26))^(-0.8+1)-1))))</f>
        <v>439617.1566306565</v>
      </c>
      <c r="N26" s="94">
        <f>IF($H26="-","-",(($K26/(-1.2+1)*((1/(1-$H26))^(-1.2+1)-1))))</f>
        <v>356359.4187195701</v>
      </c>
      <c r="O26" s="57"/>
    </row>
    <row r="27" spans="1:15" ht="29.25">
      <c r="A27" s="85" t="s">
        <v>106</v>
      </c>
      <c r="B27" s="85" t="s">
        <v>107</v>
      </c>
      <c r="C27" s="86" t="s">
        <v>108</v>
      </c>
      <c r="D27" s="87" t="s">
        <v>48</v>
      </c>
      <c r="E27" s="88" t="s">
        <v>79</v>
      </c>
      <c r="F27" s="89">
        <v>0.1</v>
      </c>
      <c r="G27" s="89">
        <v>0.4</v>
      </c>
      <c r="H27" s="89">
        <v>0.25</v>
      </c>
      <c r="I27" s="90">
        <v>524.4</v>
      </c>
      <c r="J27" s="91">
        <v>616</v>
      </c>
      <c r="K27" s="92">
        <f>IF(J27="-",0,I27*J27)</f>
        <v>323030.39999999997</v>
      </c>
      <c r="L27" s="93">
        <f>IF(H27="-","-",K27*H27)</f>
        <v>80757.59999999999</v>
      </c>
      <c r="M27" s="94">
        <f>IF($H27="-","-",(($K27/(-0.8+1)*((1/(1-$H27))^(-0.8+1)-1))))</f>
        <v>95655.5053176711</v>
      </c>
      <c r="N27" s="94">
        <f>IF($H27="-","-",(($K27/(-1.2+1)*((1/(1-$H27))^(-1.2+1)-1))))</f>
        <v>90307.16795701649</v>
      </c>
      <c r="O27" s="57"/>
    </row>
    <row r="28" spans="1:15" ht="16.5">
      <c r="A28" s="64" t="s">
        <v>109</v>
      </c>
      <c r="B28" s="64" t="s">
        <v>110</v>
      </c>
      <c r="C28" s="65" t="s">
        <v>111</v>
      </c>
      <c r="D28" s="66" t="s">
        <v>40</v>
      </c>
      <c r="E28" s="67" t="s">
        <v>79</v>
      </c>
      <c r="F28" s="68">
        <f>IF(E28="No aumenta",0,IF(E28="Pequeña",0,IF(E28="Moderada",0.1,IF(E28="Grande",0.4,IF(E28="Esencial",0.9,"-")))))</f>
        <v>0.1</v>
      </c>
      <c r="G28" s="68">
        <f>IF(E28="No aumenta",0,IF(E28="Pequeña",0.1,IF(E28="Moderada",0.4,IF(E28="Grande",0.9,IF(E28="Esencial",1,"-")))))</f>
        <v>0.4</v>
      </c>
      <c r="H28" s="68">
        <f>IF(F28="-","-",AVERAGE(F28:G28))</f>
        <v>0.25</v>
      </c>
      <c r="I28" s="69">
        <v>1167.4</v>
      </c>
      <c r="J28" s="70">
        <v>1458</v>
      </c>
      <c r="K28" s="71">
        <f>IF(J28="-",0,I28*J28)</f>
        <v>1702069.2000000002</v>
      </c>
      <c r="L28" s="72">
        <f>IF(H28="-","-",K28*H28)</f>
        <v>425517.30000000005</v>
      </c>
      <c r="M28" s="73">
        <f>IF($H28="-","-",(($K28/(-0.8+1)*((1/(1-$H28))^(-0.8+1)-1))))</f>
        <v>504015.37877439475</v>
      </c>
      <c r="N28" s="73">
        <f>IF($H28="-","-",(($K28/(-1.2+1)*((1/(1-$H28))^(-1.2+1)-1))))</f>
        <v>475834.6246014763</v>
      </c>
      <c r="O28" s="57"/>
    </row>
    <row r="29" spans="1:15" ht="29.25">
      <c r="A29" s="64" t="s">
        <v>275</v>
      </c>
      <c r="B29" s="64" t="s">
        <v>276</v>
      </c>
      <c r="C29" s="249" t="s">
        <v>277</v>
      </c>
      <c r="D29" s="66" t="s">
        <v>40</v>
      </c>
      <c r="E29" s="67" t="s">
        <v>278</v>
      </c>
      <c r="F29" s="68" t="s">
        <v>63</v>
      </c>
      <c r="G29" s="68" t="s">
        <v>63</v>
      </c>
      <c r="H29" s="68" t="s">
        <v>63</v>
      </c>
      <c r="I29" s="69">
        <v>0</v>
      </c>
      <c r="J29" s="70"/>
      <c r="K29" s="71">
        <f>IF(J29="-",0,I29*J29)</f>
        <v>0</v>
      </c>
      <c r="L29" s="72" t="str">
        <f>IF(H29="-","-",K29*H29)</f>
        <v>-</v>
      </c>
      <c r="M29" s="73" t="str">
        <f>IF($H29="-","-",(($K29/(-0.8+1)*((1/(1-$H29))^(-0.8+1)-1))))</f>
        <v>-</v>
      </c>
      <c r="N29" s="73" t="str">
        <f>IF($H29="-","-",(($K29/(-1.2+1)*((1/(1-$H29))^(-1.2+1)-1))))</f>
        <v>-</v>
      </c>
      <c r="O29" s="57"/>
    </row>
    <row r="30" spans="1:15" ht="42.75">
      <c r="A30" s="85" t="s">
        <v>112</v>
      </c>
      <c r="B30" s="85" t="s">
        <v>113</v>
      </c>
      <c r="C30" s="86" t="s">
        <v>114</v>
      </c>
      <c r="D30" s="87" t="s">
        <v>48</v>
      </c>
      <c r="E30" s="88" t="s">
        <v>62</v>
      </c>
      <c r="F30" s="89" t="s">
        <v>63</v>
      </c>
      <c r="G30" s="89" t="s">
        <v>63</v>
      </c>
      <c r="H30" s="89" t="s">
        <v>63</v>
      </c>
      <c r="I30" s="90">
        <v>1879.1</v>
      </c>
      <c r="J30" s="91">
        <v>424</v>
      </c>
      <c r="K30" s="92">
        <f>IF(J30="-",0,I30*J30)</f>
        <v>796738.3999999999</v>
      </c>
      <c r="L30" s="93" t="str">
        <f>IF(H30="-","-",K30*H30)</f>
        <v>-</v>
      </c>
      <c r="M30" s="94" t="str">
        <f>IF($H30="-","-",(($K30/(-0.8+1)*((1/(1-$H30))^(-0.8+1)-1))))</f>
        <v>-</v>
      </c>
      <c r="N30" s="94" t="str">
        <f>IF($H30="-","-",(($K30/(-1.2+1)*((1/(1-$H30))^(-1.2+1)-1))))</f>
        <v>-</v>
      </c>
      <c r="O30" s="57"/>
    </row>
    <row r="31" spans="1:15" ht="29.25">
      <c r="A31" s="64" t="s">
        <v>115</v>
      </c>
      <c r="B31" s="64" t="s">
        <v>116</v>
      </c>
      <c r="C31" s="65" t="s">
        <v>117</v>
      </c>
      <c r="D31" s="66" t="s">
        <v>40</v>
      </c>
      <c r="E31" s="67" t="s">
        <v>72</v>
      </c>
      <c r="F31" s="68">
        <f>IF(E31="No aumenta",0,IF(E31="Pequeña",0,IF(E31="Moderada",0.1,IF(E31="Grande",0.4,IF(E31="Esencial",0.9,"-")))))</f>
        <v>0</v>
      </c>
      <c r="G31" s="68">
        <f>IF(E31="No aumenta",0,IF(E31="Pequeña",0.1,IF(E31="Moderada",0.4,IF(E31="Grande",0.9,IF(E31="Esencial",1,"-")))))</f>
        <v>0.1</v>
      </c>
      <c r="H31" s="68">
        <f>IF(F31="-","-",AVERAGE(F31:G31))</f>
        <v>0.05</v>
      </c>
      <c r="I31" s="69">
        <v>149</v>
      </c>
      <c r="J31" s="70">
        <v>74</v>
      </c>
      <c r="K31" s="71">
        <f>IF(J31="-",0,I31*J31)</f>
        <v>11026</v>
      </c>
      <c r="L31" s="72">
        <f>IF(H31="-","-",K31*H31)</f>
        <v>551.3000000000001</v>
      </c>
      <c r="M31" s="73">
        <f>IF($H31="-","-",(($K31/(-0.8+1)*((1/(1-$H31))^(-0.8+1)-1))))</f>
        <v>568.4707521978168</v>
      </c>
      <c r="N31" s="73">
        <f>IF($H31="-","-",(($K31/(-1.2+1)*((1/(1-$H31))^(-1.2+1)-1))))</f>
        <v>562.6688155963238</v>
      </c>
      <c r="O31" s="57"/>
    </row>
    <row r="32" spans="1:15" ht="16.5">
      <c r="A32" s="64" t="s">
        <v>118</v>
      </c>
      <c r="B32" s="64" t="s">
        <v>119</v>
      </c>
      <c r="C32" s="65" t="s">
        <v>120</v>
      </c>
      <c r="D32" s="66" t="s">
        <v>40</v>
      </c>
      <c r="E32" s="67" t="s">
        <v>68</v>
      </c>
      <c r="F32" s="68">
        <f>IF(E32="No aumenta",0,IF(E32="Pequeña",0,IF(E32="Moderada",0.1,IF(E32="Grande",0.4,IF(E32="Esencial",0.9,"-")))))</f>
        <v>0</v>
      </c>
      <c r="G32" s="68">
        <f>IF(E32="No aumenta",0,IF(E32="Pequeña",0.1,IF(E32="Moderada",0.4,IF(E32="Grande",0.9,IF(E32="Esencial",1,"-")))))</f>
        <v>0</v>
      </c>
      <c r="H32" s="68">
        <f>IF(F32="-","-",AVERAGE(F32:G32))</f>
        <v>0</v>
      </c>
      <c r="I32" s="69">
        <v>601</v>
      </c>
      <c r="J32" s="70">
        <f>7288+185</f>
        <v>7473</v>
      </c>
      <c r="K32" s="71">
        <f>IF(J32="-",0,I32*J32)</f>
        <v>4491273</v>
      </c>
      <c r="L32" s="72">
        <f>IF(H32="-","-",K32*H32)</f>
        <v>0</v>
      </c>
      <c r="M32" s="73">
        <f>IF($H32="-","-",(($K32/(-0.8+1)*((1/(1-$H32))^(-0.8+1)-1))))</f>
        <v>0</v>
      </c>
      <c r="N32" s="73">
        <f>IF($H32="-","-",(($K32/(-1.2+1)*((1/(1-$H32))^(-1.2+1)-1))))</f>
        <v>0</v>
      </c>
      <c r="O32" s="57"/>
    </row>
    <row r="33" spans="1:15" ht="16.5">
      <c r="A33" s="64" t="s">
        <v>127</v>
      </c>
      <c r="B33" s="64" t="s">
        <v>128</v>
      </c>
      <c r="C33" s="65" t="s">
        <v>129</v>
      </c>
      <c r="D33" s="171" t="s">
        <v>40</v>
      </c>
      <c r="E33" s="67" t="s">
        <v>130</v>
      </c>
      <c r="F33" s="68">
        <f>IF(E33="No aumenta",0,IF(E33="Pequeña",0,IF(E33="Moderada",0.1,IF(E33="Grande",0.4,IF(E33="Esencial",0.9,"-")))))</f>
        <v>0.9</v>
      </c>
      <c r="G33" s="68">
        <f>IF(E33="No aumenta",0,IF(E33="Pequeña",0.1,IF(E33="Moderada",0.4,IF(E33="Grande",0.9,IF(E33="Esencial",1,"-")))))</f>
        <v>1</v>
      </c>
      <c r="H33" s="68">
        <f>IF(F33="-","-",AVERAGE(F33:G33))</f>
        <v>0.95</v>
      </c>
      <c r="I33" s="69">
        <v>706</v>
      </c>
      <c r="J33" s="70">
        <v>15</v>
      </c>
      <c r="K33" s="71">
        <f>IF(J33="-",0,I33*J33)</f>
        <v>10590</v>
      </c>
      <c r="L33" s="72">
        <f>IF(H33="-","-",K33*H33)</f>
        <v>10060.5</v>
      </c>
      <c r="M33" s="73">
        <f>IF($H33="-","-",(($K33/(-0.8+1)*((1/(1-$H33))^(-0.8+1)-1))))</f>
        <v>43448.87455023094</v>
      </c>
      <c r="N33" s="73">
        <f>IF($H33="-","-",(($K33/(-1.2+1)*((1/(1-$H33))^(-1.2+1)-1))))</f>
        <v>23865.60961597053</v>
      </c>
      <c r="O33" s="57"/>
    </row>
    <row r="34" spans="1:15" ht="29.25">
      <c r="A34" s="64" t="s">
        <v>131</v>
      </c>
      <c r="B34" s="64" t="s">
        <v>132</v>
      </c>
      <c r="C34" s="65" t="s">
        <v>133</v>
      </c>
      <c r="D34" s="66" t="s">
        <v>40</v>
      </c>
      <c r="E34" s="67" t="s">
        <v>72</v>
      </c>
      <c r="F34" s="68">
        <v>0</v>
      </c>
      <c r="G34" s="68">
        <v>0.1</v>
      </c>
      <c r="H34" s="68">
        <v>0.05</v>
      </c>
      <c r="I34" s="69">
        <v>164.4</v>
      </c>
      <c r="J34" s="70">
        <v>1693</v>
      </c>
      <c r="K34" s="71">
        <f>IF(J34="-",0,I34*J34)</f>
        <v>278329.2</v>
      </c>
      <c r="L34" s="72">
        <f>IF(H34="-","-",K34*H34)</f>
        <v>13916.460000000001</v>
      </c>
      <c r="M34" s="73">
        <f>IF($H34="-","-",(($K34/(-0.8+1)*((1/(1-$H34))^(-0.8+1)-1))))</f>
        <v>14349.901113968492</v>
      </c>
      <c r="N34" s="73">
        <f>IF($H34="-","-",(($K34/(-1.2+1)*((1/(1-$H34))^(-1.2+1)-1))))</f>
        <v>14203.4428904292</v>
      </c>
      <c r="O34" s="57"/>
    </row>
    <row r="35" spans="1:15" ht="16.5">
      <c r="A35" s="134" t="s">
        <v>134</v>
      </c>
      <c r="B35" s="134" t="s">
        <v>135</v>
      </c>
      <c r="C35" s="135" t="s">
        <v>136</v>
      </c>
      <c r="D35" s="95" t="s">
        <v>50</v>
      </c>
      <c r="E35" s="136" t="s">
        <v>68</v>
      </c>
      <c r="F35" s="137">
        <v>0</v>
      </c>
      <c r="G35" s="137">
        <v>0</v>
      </c>
      <c r="H35" s="137">
        <v>0</v>
      </c>
      <c r="I35" s="138">
        <v>761.9</v>
      </c>
      <c r="J35" s="139">
        <v>1</v>
      </c>
      <c r="K35" s="140">
        <f>IF(J35="-",0,I35*J35)</f>
        <v>761.9</v>
      </c>
      <c r="L35" s="141">
        <f>IF(H35="-","-",K35*H35)</f>
        <v>0</v>
      </c>
      <c r="M35" s="142">
        <f>IF($H35="-","-",(($K35/(-0.8+1)*((1/(1-$H35))^(-0.8+1)-1))))</f>
        <v>0</v>
      </c>
      <c r="N35" s="142">
        <f>IF($H35="-","-",(($K35/(-1.2+1)*((1/(1-$H35))^(-1.2+1)-1))))</f>
        <v>0</v>
      </c>
      <c r="O35" s="57"/>
    </row>
    <row r="36" spans="1:15" ht="42.75">
      <c r="A36" s="85" t="s">
        <v>137</v>
      </c>
      <c r="B36" s="85" t="s">
        <v>138</v>
      </c>
      <c r="C36" s="86" t="s">
        <v>139</v>
      </c>
      <c r="D36" s="87" t="s">
        <v>48</v>
      </c>
      <c r="E36" s="88" t="s">
        <v>49</v>
      </c>
      <c r="F36" s="89" t="str">
        <f>IF(E36="No aumenta",0,IF(E36="Pequeña",0,IF(E36="Moderada",0.1,IF(E36="Grande",0.4,IF(E36="Esencial",0.9,"-")))))</f>
        <v>-</v>
      </c>
      <c r="G36" s="89" t="str">
        <f>IF(E36="No aumenta",0,IF(E36="Pequeña",0.1,IF(E36="Moderada",0.4,IF(E36="Grande",0.9,IF(E36="Esencial",1,"-")))))</f>
        <v>-</v>
      </c>
      <c r="H36" s="89" t="str">
        <f>IF(F36="-","-",AVERAGE(F36:G36))</f>
        <v>-</v>
      </c>
      <c r="I36" s="90">
        <v>300</v>
      </c>
      <c r="J36" s="91">
        <v>6477</v>
      </c>
      <c r="K36" s="92">
        <f>IF(J36="-",0,I36*J36)</f>
        <v>1943100</v>
      </c>
      <c r="L36" s="93" t="str">
        <f>IF(H36="-","-",K36*H36)</f>
        <v>-</v>
      </c>
      <c r="M36" s="94" t="str">
        <f>IF($H36="-","-",(($K36/(-0.8+1)*((1/(1-$H36))^(-0.8+1)-1))))</f>
        <v>-</v>
      </c>
      <c r="N36" s="94" t="str">
        <f>IF($H36="-","-",(($K36/(-1.2+1)*((1/(1-$H36))^(-1.2+1)-1))))</f>
        <v>-</v>
      </c>
      <c r="O36" s="57"/>
    </row>
    <row r="37" spans="1:15" ht="16.5">
      <c r="A37" s="134" t="s">
        <v>140</v>
      </c>
      <c r="B37" s="134" t="s">
        <v>141</v>
      </c>
      <c r="C37" s="172" t="s">
        <v>142</v>
      </c>
      <c r="D37" s="173" t="s">
        <v>50</v>
      </c>
      <c r="E37" s="137" t="s">
        <v>68</v>
      </c>
      <c r="F37" s="137">
        <v>0</v>
      </c>
      <c r="G37" s="137">
        <v>0</v>
      </c>
      <c r="H37" s="137">
        <v>0</v>
      </c>
      <c r="I37" s="138">
        <v>238.5</v>
      </c>
      <c r="J37" s="139">
        <v>1</v>
      </c>
      <c r="K37" s="140">
        <f>IF(J37="-",0,I37*J37)</f>
        <v>238.5</v>
      </c>
      <c r="L37" s="141">
        <f>IF(H37="-","-",K37*H37)</f>
        <v>0</v>
      </c>
      <c r="M37" s="142">
        <f>IF($H37="-","-",(($K37/(-0.8+1)*((1/(1-$H37))^(-0.8+1)-1))))</f>
        <v>0</v>
      </c>
      <c r="N37" s="142">
        <f>IF($H37="-","-",(($K37/(-1.2+1)*((1/(1-$H37))^(-1.2+1)-1))))</f>
        <v>0</v>
      </c>
      <c r="O37" s="57"/>
    </row>
    <row r="38" spans="1:15" ht="16.5">
      <c r="A38" s="119" t="s">
        <v>143</v>
      </c>
      <c r="B38" s="119" t="s">
        <v>144</v>
      </c>
      <c r="C38" s="120" t="s">
        <v>145</v>
      </c>
      <c r="D38" s="121" t="s">
        <v>36</v>
      </c>
      <c r="E38" s="122" t="s">
        <v>68</v>
      </c>
      <c r="F38" s="123">
        <v>0</v>
      </c>
      <c r="G38" s="123">
        <v>0</v>
      </c>
      <c r="H38" s="123">
        <v>0</v>
      </c>
      <c r="I38" s="124">
        <v>216.9</v>
      </c>
      <c r="J38" s="125">
        <v>1722</v>
      </c>
      <c r="K38" s="126">
        <f>IF(J38="-",0,I38*J38)</f>
        <v>373501.8</v>
      </c>
      <c r="L38" s="127">
        <f>IF(H38="-","-",K38*H38)</f>
        <v>0</v>
      </c>
      <c r="M38" s="128">
        <f>IF($H38="-","-",(($K38/(-0.8+1)*((1/(1-$H38))^(-0.8+1)-1))))</f>
        <v>0</v>
      </c>
      <c r="N38" s="128">
        <f>IF($H38="-","-",(($K38/(-1.2+1)*((1/(1-$H38))^(-1.2+1)-1))))</f>
        <v>0</v>
      </c>
      <c r="O38" s="57"/>
    </row>
    <row r="39" spans="1:15" ht="29.25">
      <c r="A39" s="85" t="s">
        <v>146</v>
      </c>
      <c r="B39" s="85" t="s">
        <v>147</v>
      </c>
      <c r="C39" s="86" t="s">
        <v>148</v>
      </c>
      <c r="D39" s="87" t="s">
        <v>48</v>
      </c>
      <c r="E39" s="88" t="s">
        <v>68</v>
      </c>
      <c r="F39" s="89">
        <f>IF(E39="No aumenta",0,IF(E39="Pequeña",0,IF(E39="Moderada",0.1,IF(E39="Grande",0.4,IF(E39="Esencial",0.9,"-")))))</f>
        <v>0</v>
      </c>
      <c r="G39" s="89">
        <f>IF(E39="No aumenta",0,IF(E39="Pequeña",0.1,IF(E39="Moderada",0.4,IF(E39="Grande",0.9,IF(E39="Esencial",1,"-")))))</f>
        <v>0</v>
      </c>
      <c r="H39" s="89">
        <f>IF(F39="-","-",AVERAGE(F39:G39))</f>
        <v>0</v>
      </c>
      <c r="I39" s="90">
        <v>1034.6</v>
      </c>
      <c r="J39" s="91">
        <v>1070</v>
      </c>
      <c r="K39" s="92">
        <f>IF(J39="-",0,I39*J39)</f>
        <v>1107022</v>
      </c>
      <c r="L39" s="93">
        <f>IF(H39="-","-",K39*H39)</f>
        <v>0</v>
      </c>
      <c r="M39" s="94">
        <f>IF($H39="-","-",(($K39/(-0.8+1)*((1/(1-$H39))^(-0.8+1)-1))))</f>
        <v>0</v>
      </c>
      <c r="N39" s="94">
        <f>IF($H39="-","-",(($K39/(-1.2+1)*((1/(1-$H39))^(-1.2+1)-1))))</f>
        <v>0</v>
      </c>
      <c r="O39" s="57"/>
    </row>
    <row r="40" spans="1:15" ht="16.5">
      <c r="A40" s="119" t="s">
        <v>149</v>
      </c>
      <c r="B40" s="119" t="s">
        <v>150</v>
      </c>
      <c r="C40" s="120" t="s">
        <v>151</v>
      </c>
      <c r="D40" s="121" t="s">
        <v>36</v>
      </c>
      <c r="E40" s="122" t="s">
        <v>68</v>
      </c>
      <c r="F40" s="123">
        <v>0</v>
      </c>
      <c r="G40" s="123">
        <v>0</v>
      </c>
      <c r="H40" s="123">
        <v>0</v>
      </c>
      <c r="I40" s="124">
        <v>181.5</v>
      </c>
      <c r="J40" s="125">
        <v>13924</v>
      </c>
      <c r="K40" s="126">
        <f>IF(J40="-",0,I40*J40)</f>
        <v>2527206</v>
      </c>
      <c r="L40" s="127">
        <f>IF(H40="-","-",K40*H40)</f>
        <v>0</v>
      </c>
      <c r="M40" s="128">
        <f>IF($H40="-","-",(($K40/(-0.8+1)*((1/(1-$H40))^(-0.8+1)-1))))</f>
        <v>0</v>
      </c>
      <c r="N40" s="128">
        <f>IF($H40="-","-",(($K40/(-1.2+1)*((1/(1-$H40))^(-1.2+1)-1))))</f>
        <v>0</v>
      </c>
      <c r="O40" s="57"/>
    </row>
    <row r="41" spans="1:15" ht="16.5">
      <c r="A41" s="174" t="s">
        <v>152</v>
      </c>
      <c r="B41" s="174" t="s">
        <v>153</v>
      </c>
      <c r="C41" s="175" t="s">
        <v>154</v>
      </c>
      <c r="D41" s="79" t="s">
        <v>44</v>
      </c>
      <c r="E41" s="176" t="s">
        <v>68</v>
      </c>
      <c r="F41" s="177">
        <f>IF(E41="No aumenta",0,IF(E41="Pequeña",0,IF(E41="Moderada",0.1,IF(E41="Grande",0.4,IF(E41="Esencial",0.9,"-")))))</f>
        <v>0</v>
      </c>
      <c r="G41" s="177">
        <f>IF(E41="No aumenta",0,IF(E41="Pequeña",0.1,IF(E41="Moderada",0.4,IF(E41="Grande",0.9,IF(E41="Esencial",1,"-")))))</f>
        <v>0</v>
      </c>
      <c r="H41" s="177">
        <f>IF(F41="-","-",AVERAGE(F41:G41))</f>
        <v>0</v>
      </c>
      <c r="I41" s="178">
        <v>396.6</v>
      </c>
      <c r="J41" s="179">
        <f>32+2194</f>
        <v>2226</v>
      </c>
      <c r="K41" s="180">
        <f>IF(J41="-",0,I41*J41)</f>
        <v>882831.6000000001</v>
      </c>
      <c r="L41" s="181">
        <f>IF(H41="-","-",K41*H41)</f>
        <v>0</v>
      </c>
      <c r="M41" s="182">
        <f>IF($H41="-","-",(($K41/(-0.8+1)*((1/(1-$H41))^(-0.8+1)-1))))</f>
        <v>0</v>
      </c>
      <c r="N41" s="182">
        <f>IF($H41="-","-",(($K41/(-1.2+1)*((1/(1-$H41))^(-1.2+1)-1))))</f>
        <v>0</v>
      </c>
      <c r="O41" s="57"/>
    </row>
    <row r="42" spans="1:15" ht="42.75">
      <c r="A42" s="85" t="s">
        <v>155</v>
      </c>
      <c r="B42" s="85" t="s">
        <v>156</v>
      </c>
      <c r="C42" s="86" t="s">
        <v>157</v>
      </c>
      <c r="D42" s="87" t="s">
        <v>48</v>
      </c>
      <c r="E42" s="88" t="s">
        <v>49</v>
      </c>
      <c r="F42" s="89" t="s">
        <v>63</v>
      </c>
      <c r="G42" s="89" t="s">
        <v>63</v>
      </c>
      <c r="H42" s="89" t="s">
        <v>63</v>
      </c>
      <c r="I42" s="90">
        <v>677.7</v>
      </c>
      <c r="J42" s="91">
        <v>947</v>
      </c>
      <c r="K42" s="92">
        <f>IF(J42="-",0,I42*J42)</f>
        <v>641781.9</v>
      </c>
      <c r="L42" s="93" t="str">
        <f>IF(H42="-","-",K42*H42)</f>
        <v>-</v>
      </c>
      <c r="M42" s="94" t="str">
        <f>IF($H42="-","-",(($K42/(-0.8+1)*((1/(1-$H42))^(-0.8+1)-1))))</f>
        <v>-</v>
      </c>
      <c r="N42" s="94" t="str">
        <f>IF($H42="-","-",(($K42/(-1.2+1)*((1/(1-$H42))^(-1.2+1)-1))))</f>
        <v>-</v>
      </c>
      <c r="O42" s="57"/>
    </row>
    <row r="43" spans="1:15" ht="42.75">
      <c r="A43" s="85" t="s">
        <v>158</v>
      </c>
      <c r="B43" s="85" t="s">
        <v>159</v>
      </c>
      <c r="C43" s="86" t="s">
        <v>157</v>
      </c>
      <c r="D43" s="87" t="s">
        <v>48</v>
      </c>
      <c r="E43" s="88" t="s">
        <v>49</v>
      </c>
      <c r="F43" s="89" t="s">
        <v>63</v>
      </c>
      <c r="G43" s="89" t="s">
        <v>63</v>
      </c>
      <c r="H43" s="89" t="s">
        <v>63</v>
      </c>
      <c r="I43" s="90">
        <v>174.9</v>
      </c>
      <c r="J43" s="91">
        <v>11933</v>
      </c>
      <c r="K43" s="92">
        <f>IF(J43="-",0,I43*J43)</f>
        <v>2087081.7</v>
      </c>
      <c r="L43" s="93" t="str">
        <f>IF(H43="-","-",K43*H43)</f>
        <v>-</v>
      </c>
      <c r="M43" s="94" t="str">
        <f>IF($H43="-","-",(($K43/(-0.8+1)*((1/(1-$H43))^(-0.8+1)-1))))</f>
        <v>-</v>
      </c>
      <c r="N43" s="94" t="str">
        <f>IF($H43="-","-",(($K43/(-1.2+1)*((1/(1-$H43))^(-1.2+1)-1))))</f>
        <v>-</v>
      </c>
      <c r="O43" s="57"/>
    </row>
    <row r="44" spans="1:15" ht="16.5">
      <c r="A44" s="64" t="s">
        <v>160</v>
      </c>
      <c r="B44" s="64" t="s">
        <v>161</v>
      </c>
      <c r="C44" s="65" t="s">
        <v>162</v>
      </c>
      <c r="D44" s="66" t="s">
        <v>40</v>
      </c>
      <c r="E44" s="67" t="s">
        <v>72</v>
      </c>
      <c r="F44" s="68">
        <v>0</v>
      </c>
      <c r="G44" s="68">
        <v>0.1</v>
      </c>
      <c r="H44" s="68">
        <v>0.05</v>
      </c>
      <c r="I44" s="69">
        <v>198.6</v>
      </c>
      <c r="J44" s="70">
        <v>9076</v>
      </c>
      <c r="K44" s="71">
        <f>IF(J44="-",0,I44*J44)</f>
        <v>1802493.5999999999</v>
      </c>
      <c r="L44" s="72">
        <f>IF(H44="-","-",K44*H44)</f>
        <v>90124.68</v>
      </c>
      <c r="M44" s="73">
        <f>IF($H44="-","-",(($K44/(-0.8+1)*((1/(1-$H44))^(-0.8+1)-1))))</f>
        <v>92931.69713620085</v>
      </c>
      <c r="N44" s="73">
        <f>IF($H44="-","-",(($K44/(-1.2+1)*((1/(1-$H44))^(-1.2+1)-1))))</f>
        <v>91983.2159470301</v>
      </c>
      <c r="O44" s="57"/>
    </row>
    <row r="45" spans="1:15" ht="56.25">
      <c r="A45" s="85" t="s">
        <v>163</v>
      </c>
      <c r="B45" s="85" t="s">
        <v>164</v>
      </c>
      <c r="C45" s="86" t="s">
        <v>165</v>
      </c>
      <c r="D45" s="87" t="s">
        <v>48</v>
      </c>
      <c r="E45" s="88" t="s">
        <v>130</v>
      </c>
      <c r="F45" s="89">
        <f>IF(E45="No aumenta",0,IF(E45="Pequeña",0,IF(E45="Moderada",0.1,IF(E45="Grande",0.4,IF(E45="Esencial",0.9,"-")))))</f>
        <v>0.9</v>
      </c>
      <c r="G45" s="89">
        <f>IF(E45="No aumenta",0,IF(E45="Pequeña",0.1,IF(E45="Moderada",0.4,IF(E45="Grande",0.9,IF(E45="Esencial",1,"-")))))</f>
        <v>1</v>
      </c>
      <c r="H45" s="89">
        <f>IF(F45="-","-",AVERAGE(F45:G45))</f>
        <v>0.95</v>
      </c>
      <c r="I45" s="90">
        <v>259.9</v>
      </c>
      <c r="J45" s="91">
        <v>2208</v>
      </c>
      <c r="K45" s="92">
        <f>IF(J45="-",0,I45*J45)</f>
        <v>573859.2</v>
      </c>
      <c r="L45" s="93">
        <f>IF(H45="-","-",K45*H45)</f>
        <v>545166.2399999999</v>
      </c>
      <c r="M45" s="94">
        <f>IF($H45="-","-",(($K45/(-0.8+1)*((1/(1-$H45))^(-0.8+1)-1))))</f>
        <v>2354441.585485919</v>
      </c>
      <c r="N45" s="94">
        <f>IF($H45="-","-",(($K45/(-1.2+1)*((1/(1-$H45))^(-1.2+1)-1))))</f>
        <v>1293248.3136669644</v>
      </c>
      <c r="O45" s="57"/>
    </row>
    <row r="46" spans="1:15" ht="42.75">
      <c r="A46" s="64" t="s">
        <v>166</v>
      </c>
      <c r="B46" s="64" t="s">
        <v>167</v>
      </c>
      <c r="C46" s="65" t="s">
        <v>168</v>
      </c>
      <c r="D46" s="66" t="s">
        <v>40</v>
      </c>
      <c r="E46" s="67" t="s">
        <v>35</v>
      </c>
      <c r="F46" s="68">
        <v>0.4</v>
      </c>
      <c r="G46" s="68">
        <v>0.9</v>
      </c>
      <c r="H46" s="68">
        <v>0.65</v>
      </c>
      <c r="I46" s="69">
        <v>532.1</v>
      </c>
      <c r="J46" s="70">
        <f>267+185</f>
        <v>452</v>
      </c>
      <c r="K46" s="71">
        <f>IF(J46="-",0,I46*J46)</f>
        <v>240509.2</v>
      </c>
      <c r="L46" s="72">
        <f>IF(H46="-","-",K46*H46)</f>
        <v>156330.98</v>
      </c>
      <c r="M46" s="73">
        <f>IF($H46="-","-",(($K46/(-0.8+1)*((1/(1-$H46))^(-0.8+1)-1))))</f>
        <v>280955.8396232926</v>
      </c>
      <c r="N46" s="73">
        <f>IF($H46="-","-",(($K46/(-1.2+1)*((1/(1-$H46))^(-1.2+1)-1))))</f>
        <v>227746.4793716911</v>
      </c>
      <c r="O46" s="57"/>
    </row>
    <row r="47" spans="1:15" ht="16.5">
      <c r="A47" s="64" t="s">
        <v>169</v>
      </c>
      <c r="B47" s="64" t="s">
        <v>170</v>
      </c>
      <c r="C47" s="65" t="s">
        <v>171</v>
      </c>
      <c r="D47" s="66" t="s">
        <v>40</v>
      </c>
      <c r="E47" s="67" t="s">
        <v>35</v>
      </c>
      <c r="F47" s="68">
        <v>0.4</v>
      </c>
      <c r="G47" s="68">
        <v>0.9</v>
      </c>
      <c r="H47" s="68">
        <v>0.65</v>
      </c>
      <c r="I47" s="69">
        <v>427.4</v>
      </c>
      <c r="J47" s="70">
        <v>393</v>
      </c>
      <c r="K47" s="71">
        <f>IF(J47="-",0,I47*J47)</f>
        <v>167968.19999999998</v>
      </c>
      <c r="L47" s="72">
        <f>IF(H47="-","-",K47*H47)</f>
        <v>109179.32999999999</v>
      </c>
      <c r="M47" s="73">
        <f>IF($H47="-","-",(($K47/(-0.8+1)*((1/(1-$H47))^(-0.8+1)-1))))</f>
        <v>196215.55708061534</v>
      </c>
      <c r="N47" s="73">
        <f>IF($H47="-","-",(($K47/(-1.2+1)*((1/(1-$H47))^(-1.2+1)-1))))</f>
        <v>159054.89767709543</v>
      </c>
      <c r="O47" s="57"/>
    </row>
    <row r="48" spans="1:15" ht="29.25">
      <c r="A48" s="134" t="s">
        <v>172</v>
      </c>
      <c r="B48" s="134" t="s">
        <v>173</v>
      </c>
      <c r="C48" s="135" t="s">
        <v>174</v>
      </c>
      <c r="D48" s="95" t="s">
        <v>50</v>
      </c>
      <c r="E48" s="136" t="s">
        <v>68</v>
      </c>
      <c r="F48" s="137">
        <f>IF(E48="No aumenta",0,IF(E48="Pequeña",0,IF(E48="Moderada",0.1,IF(E48="Grande",0.4,IF(E48="Esencial",0.9,"-")))))</f>
        <v>0</v>
      </c>
      <c r="G48" s="137">
        <f>IF(E48="No aumenta",0,IF(E48="Pequeña",0.1,IF(E48="Moderada",0.4,IF(E48="Grande",0.9,IF(E48="Esencial",1,"-")))))</f>
        <v>0</v>
      </c>
      <c r="H48" s="137">
        <f>IF(F48="-","-",AVERAGE(F48:G48))</f>
        <v>0</v>
      </c>
      <c r="I48" s="138">
        <v>223.6</v>
      </c>
      <c r="J48" s="139">
        <v>535</v>
      </c>
      <c r="K48" s="140">
        <f>IF(J48="-",0,I48*J48)</f>
        <v>119626</v>
      </c>
      <c r="L48" s="141">
        <f>IF(H48="-","-",K48*H48)</f>
        <v>0</v>
      </c>
      <c r="M48" s="142">
        <f>IF($H48="-","-",(($K48/(-0.8+1)*((1/(1-$H48))^(-0.8+1)-1))))</f>
        <v>0</v>
      </c>
      <c r="N48" s="142">
        <f>IF($H48="-","-",(($K48/(-1.2+1)*((1/(1-$H48))^(-1.2+1)-1))))</f>
        <v>0</v>
      </c>
      <c r="O48" s="57"/>
    </row>
    <row r="49" spans="1:15" ht="29.25">
      <c r="A49" s="85" t="s">
        <v>175</v>
      </c>
      <c r="B49" s="85" t="s">
        <v>176</v>
      </c>
      <c r="C49" s="86" t="s">
        <v>174</v>
      </c>
      <c r="D49" s="87" t="s">
        <v>48</v>
      </c>
      <c r="E49" s="88" t="s">
        <v>68</v>
      </c>
      <c r="F49" s="89">
        <f>IF(E49="No aumenta",0,IF(E49="Pequeña",0,IF(E49="Moderada",0.1,IF(E49="Grande",0.4,IF(E49="Esencial",0.9,"-")))))</f>
        <v>0</v>
      </c>
      <c r="G49" s="89">
        <f>IF(E49="No aumenta",0,IF(E49="Pequeña",0.1,IF(E49="Moderada",0.4,IF(E49="Grande",0.9,IF(E49="Esencial",1,"-")))))</f>
        <v>0</v>
      </c>
      <c r="H49" s="89">
        <f>IF(F49="-","-",AVERAGE(F49:G49))</f>
        <v>0</v>
      </c>
      <c r="I49" s="90">
        <v>1847.6</v>
      </c>
      <c r="J49" s="91">
        <v>11</v>
      </c>
      <c r="K49" s="92">
        <f>IF(J49="-",0,I49*J49)</f>
        <v>20323.6</v>
      </c>
      <c r="L49" s="93">
        <f>IF(H49="-","-",K49*H49)</f>
        <v>0</v>
      </c>
      <c r="M49" s="94">
        <f>IF($H49="-","-",(($K49/(-0.8+1)*((1/(1-$H49))^(-0.8+1)-1))))</f>
        <v>0</v>
      </c>
      <c r="N49" s="94">
        <f>IF($H49="-","-",(($K49/(-1.2+1)*((1/(1-$H49))^(-1.2+1)-1))))</f>
        <v>0</v>
      </c>
      <c r="O49" s="57"/>
    </row>
    <row r="50" spans="1:15" ht="29.25">
      <c r="A50" s="64" t="s">
        <v>177</v>
      </c>
      <c r="B50" s="64" t="s">
        <v>178</v>
      </c>
      <c r="C50" s="65" t="s">
        <v>179</v>
      </c>
      <c r="D50" s="66" t="s">
        <v>40</v>
      </c>
      <c r="E50" s="67" t="s">
        <v>35</v>
      </c>
      <c r="F50" s="68">
        <v>0.4</v>
      </c>
      <c r="G50" s="68">
        <v>0.9</v>
      </c>
      <c r="H50" s="68">
        <v>0.65</v>
      </c>
      <c r="I50" s="69">
        <v>471.3</v>
      </c>
      <c r="J50" s="70">
        <v>125</v>
      </c>
      <c r="K50" s="71">
        <f>IF(J50="-",0,I50*J50)</f>
        <v>58912.5</v>
      </c>
      <c r="L50" s="72">
        <f>IF(H50="-","-",K50*H50)</f>
        <v>38293.125</v>
      </c>
      <c r="M50" s="73">
        <f>IF($H50="-","-",(($K50/(-0.8+1)*((1/(1-$H50))^(-0.8+1)-1))))</f>
        <v>68819.86594195658</v>
      </c>
      <c r="N50" s="73">
        <f>IF($H50="-","-",(($K50/(-1.2+1)*((1/(1-$H50))^(-1.2+1)-1))))</f>
        <v>55786.28370966579</v>
      </c>
      <c r="O50" s="57"/>
    </row>
    <row r="51" spans="1:15" ht="42.75">
      <c r="A51" s="183" t="s">
        <v>180</v>
      </c>
      <c r="B51" s="183" t="s">
        <v>181</v>
      </c>
      <c r="C51" s="184" t="s">
        <v>182</v>
      </c>
      <c r="D51" s="101" t="s">
        <v>54</v>
      </c>
      <c r="E51" s="185" t="s">
        <v>62</v>
      </c>
      <c r="F51" s="186" t="s">
        <v>63</v>
      </c>
      <c r="G51" s="186" t="s">
        <v>63</v>
      </c>
      <c r="H51" s="186" t="s">
        <v>63</v>
      </c>
      <c r="I51" s="187">
        <v>212.7</v>
      </c>
      <c r="J51" s="188">
        <v>54751</v>
      </c>
      <c r="K51" s="189">
        <f>IF(J51="-",0,I51*J51)</f>
        <v>11645537.7</v>
      </c>
      <c r="L51" s="190" t="str">
        <f>IF(H51="-","-",K51*H51)</f>
        <v>-</v>
      </c>
      <c r="M51" s="191" t="str">
        <f>IF($H51="-","-",(($K51/(-0.8+1)*((1/(1-$H51))^(-0.8+1)-1))))</f>
        <v>-</v>
      </c>
      <c r="N51" s="191" t="str">
        <f>IF($H51="-","-",(($K51/(-1.2+1)*((1/(1-$H51))^(-1.2+1)-1))))</f>
        <v>-</v>
      </c>
      <c r="O51" s="57"/>
    </row>
    <row r="52" spans="1:15" ht="42.75">
      <c r="A52" s="85" t="s">
        <v>251</v>
      </c>
      <c r="B52" s="85" t="s">
        <v>184</v>
      </c>
      <c r="C52" s="86" t="s">
        <v>185</v>
      </c>
      <c r="D52" s="87" t="s">
        <v>48</v>
      </c>
      <c r="E52" s="88" t="s">
        <v>130</v>
      </c>
      <c r="F52" s="89">
        <f>IF(E52="No aumenta",0,IF(E52="Pequeña",0,IF(E52="Moderada",0.1,IF(E52="Grande",0.4,IF(E52="Esencial",0.9,"-")))))</f>
        <v>0.9</v>
      </c>
      <c r="G52" s="89">
        <f>IF(E52="No aumenta",0,IF(E52="Pequeña",0.1,IF(E52="Moderada",0.4,IF(E52="Grande",0.9,IF(E52="Esencial",1,"-")))))</f>
        <v>1</v>
      </c>
      <c r="H52" s="89">
        <f>IF(F52="-","-",AVERAGE(F52:G52))</f>
        <v>0.95</v>
      </c>
      <c r="I52" s="90">
        <v>333.5</v>
      </c>
      <c r="J52" s="91">
        <f>768+2476</f>
        <v>3244</v>
      </c>
      <c r="K52" s="92">
        <f>IF(J52="-",0,I52*J52)</f>
        <v>1081874</v>
      </c>
      <c r="L52" s="93">
        <f>IF(H52="-","-",K52*H52)</f>
        <v>1027780.2999999999</v>
      </c>
      <c r="M52" s="94">
        <f>IF($H52="-","-",(($K52/(-0.8+1)*((1/(1-$H52))^(-0.8+1)-1))))</f>
        <v>4438735.382923186</v>
      </c>
      <c r="N52" s="94">
        <f>IF($H52="-","-",(($K52/(-1.2+1)*((1/(1-$H52))^(-1.2+1)-1))))</f>
        <v>2438109.7769280924</v>
      </c>
      <c r="O52" s="57"/>
    </row>
    <row r="53" spans="1:15" ht="16.5">
      <c r="A53" s="64" t="s">
        <v>186</v>
      </c>
      <c r="B53" s="64" t="s">
        <v>187</v>
      </c>
      <c r="C53" s="192" t="s">
        <v>188</v>
      </c>
      <c r="D53" s="66" t="s">
        <v>40</v>
      </c>
      <c r="E53" s="67" t="s">
        <v>35</v>
      </c>
      <c r="F53" s="68">
        <v>0.4</v>
      </c>
      <c r="G53" s="68">
        <v>0.9</v>
      </c>
      <c r="H53" s="68">
        <v>0.65</v>
      </c>
      <c r="I53" s="69">
        <v>316.1</v>
      </c>
      <c r="J53" s="70">
        <v>35</v>
      </c>
      <c r="K53" s="71">
        <f>IF(J53="-",0,I53*J53)</f>
        <v>11063.5</v>
      </c>
      <c r="L53" s="72">
        <f>IF(H53="-","-",K53*H53)</f>
        <v>7191.275000000001</v>
      </c>
      <c r="M53" s="73">
        <f>IF($H53="-","-",(($K53/(-0.8+1)*((1/(1-$H53))^(-0.8+1)-1))))</f>
        <v>12924.058338193707</v>
      </c>
      <c r="N53" s="73">
        <f>IF($H53="-","-",(($K53/(-1.2+1)*((1/(1-$H53))^(-1.2+1)-1))))</f>
        <v>10476.410775673881</v>
      </c>
      <c r="O53" s="57"/>
    </row>
    <row r="54" spans="1:15" ht="16.5">
      <c r="A54" s="119" t="s">
        <v>195</v>
      </c>
      <c r="B54" s="119" t="s">
        <v>196</v>
      </c>
      <c r="C54" s="120" t="s">
        <v>197</v>
      </c>
      <c r="D54" s="121" t="s">
        <v>36</v>
      </c>
      <c r="E54" s="194" t="s">
        <v>68</v>
      </c>
      <c r="F54" s="123">
        <v>0</v>
      </c>
      <c r="G54" s="123">
        <v>0</v>
      </c>
      <c r="H54" s="123">
        <v>0</v>
      </c>
      <c r="I54" s="124">
        <v>276.1</v>
      </c>
      <c r="J54" s="125">
        <v>98</v>
      </c>
      <c r="K54" s="126">
        <f>IF(J54="-",0,I54*J54)</f>
        <v>27057.800000000003</v>
      </c>
      <c r="L54" s="127">
        <f>IF(H54="-","-",K54*H54)</f>
        <v>0</v>
      </c>
      <c r="M54" s="128">
        <f>IF($H54="-","-",(($K54/(-0.8+1)*((1/(1-$H54))^(-0.8+1)-1))))</f>
        <v>0</v>
      </c>
      <c r="N54" s="128">
        <f>IF($H54="-","-",(($K54/(-1.2+1)*((1/(1-$H54))^(-1.2+1)-1))))</f>
        <v>0</v>
      </c>
      <c r="O54" s="57"/>
    </row>
    <row r="55" spans="1:15" ht="16.5">
      <c r="A55" s="119" t="s">
        <v>207</v>
      </c>
      <c r="B55" s="119" t="s">
        <v>208</v>
      </c>
      <c r="C55" s="120" t="s">
        <v>209</v>
      </c>
      <c r="D55" s="121" t="s">
        <v>36</v>
      </c>
      <c r="E55" s="122" t="s">
        <v>68</v>
      </c>
      <c r="F55" s="123">
        <v>0</v>
      </c>
      <c r="G55" s="123">
        <v>0</v>
      </c>
      <c r="H55" s="123">
        <v>0</v>
      </c>
      <c r="I55" s="124">
        <v>200</v>
      </c>
      <c r="J55" s="125">
        <v>560</v>
      </c>
      <c r="K55" s="126">
        <f>IF(J55="-",0,I55*J55)</f>
        <v>112000</v>
      </c>
      <c r="L55" s="127">
        <f>IF(H55="-","-",K55*H55)</f>
        <v>0</v>
      </c>
      <c r="M55" s="128">
        <f>IF($H55="-","-",(($K55/(-0.8+1)*((1/(1-$H55))^(-0.8+1)-1))))</f>
        <v>0</v>
      </c>
      <c r="N55" s="128">
        <f>IF($H55="-","-",(($K55/(-1.2+1)*((1/(1-$H55))^(-1.2+1)-1))))</f>
        <v>0</v>
      </c>
      <c r="O55" s="57"/>
    </row>
    <row r="56" spans="1:15" ht="16.5">
      <c r="A56" s="85" t="s">
        <v>213</v>
      </c>
      <c r="B56" s="85" t="s">
        <v>214</v>
      </c>
      <c r="C56" s="86" t="s">
        <v>215</v>
      </c>
      <c r="D56" s="87" t="s">
        <v>48</v>
      </c>
      <c r="E56" s="88" t="s">
        <v>68</v>
      </c>
      <c r="F56" s="89">
        <v>0</v>
      </c>
      <c r="G56" s="89">
        <v>0</v>
      </c>
      <c r="H56" s="89">
        <v>0</v>
      </c>
      <c r="I56" s="90">
        <v>508.7</v>
      </c>
      <c r="J56" s="91">
        <v>364</v>
      </c>
      <c r="K56" s="92">
        <f>IF(J56="-",0,I56*J56)</f>
        <v>185166.8</v>
      </c>
      <c r="L56" s="93">
        <f>IF(H56="-","-",K56*H56)</f>
        <v>0</v>
      </c>
      <c r="M56" s="94">
        <f>IF($H56="-","-",(($K56/(-0.8+1)*((1/(1-$H56))^(-0.8+1)-1))))</f>
        <v>0</v>
      </c>
      <c r="N56" s="94">
        <f>IF($H56="-","-",(($K56/(-1.2+1)*((1/(1-$H56))^(-1.2+1)-1))))</f>
        <v>0</v>
      </c>
      <c r="O56" s="57"/>
    </row>
    <row r="57" spans="1:15" ht="16.5">
      <c r="A57" s="64" t="s">
        <v>216</v>
      </c>
      <c r="B57" s="64" t="s">
        <v>217</v>
      </c>
      <c r="C57" s="65" t="s">
        <v>218</v>
      </c>
      <c r="D57" s="66" t="s">
        <v>40</v>
      </c>
      <c r="E57" s="67" t="s">
        <v>79</v>
      </c>
      <c r="F57" s="68">
        <f>IF(E57="No aumenta",0,IF(E57="Pequeña",0,IF(E57="Moderada",0.1,IF(E57="Grande",0.4,IF(E57="Esencial",0.9,"-")))))</f>
        <v>0.1</v>
      </c>
      <c r="G57" s="68">
        <f>IF(E57="No aumenta",0,IF(E57="Pequeña",0.1,IF(E57="Moderada",0.4,IF(E57="Grande",0.9,IF(E57="Esencial",1,"-")))))</f>
        <v>0.4</v>
      </c>
      <c r="H57" s="68">
        <f>IF(F57="-","-",AVERAGE(F57:G57))</f>
        <v>0.25</v>
      </c>
      <c r="I57" s="69">
        <v>1310.8</v>
      </c>
      <c r="J57" s="70">
        <v>309</v>
      </c>
      <c r="K57" s="71">
        <f>IF(J57="-",0,I57*J57)</f>
        <v>405037.2</v>
      </c>
      <c r="L57" s="72">
        <f>IF(H57="-","-",K57*H57)</f>
        <v>101259.3</v>
      </c>
      <c r="M57" s="73">
        <f>IF($H57="-","-",(($K57/(-0.8+1)*((1/(1-$H57))^(-0.8+1)-1))))</f>
        <v>119939.29375827976</v>
      </c>
      <c r="N57" s="73">
        <f>IF($H57="-","-",(($K57/(-1.2+1)*((1/(1-$H57))^(-1.2+1)-1))))</f>
        <v>113233.18935072266</v>
      </c>
      <c r="O57" s="57"/>
    </row>
    <row r="58" spans="1:15" ht="29.25">
      <c r="A58" s="174" t="s">
        <v>222</v>
      </c>
      <c r="B58" s="174" t="s">
        <v>223</v>
      </c>
      <c r="C58" s="175" t="s">
        <v>224</v>
      </c>
      <c r="D58" s="79" t="s">
        <v>44</v>
      </c>
      <c r="E58" s="176" t="s">
        <v>79</v>
      </c>
      <c r="F58" s="177">
        <v>0.1</v>
      </c>
      <c r="G58" s="177">
        <v>0.4</v>
      </c>
      <c r="H58" s="177">
        <v>0.25</v>
      </c>
      <c r="I58" s="178">
        <v>380.1</v>
      </c>
      <c r="J58" s="179">
        <v>18</v>
      </c>
      <c r="K58" s="180">
        <f>IF(J58="-",0,I58*J58)</f>
        <v>6841.8</v>
      </c>
      <c r="L58" s="181">
        <f>IF(H58="-","-",K58*H58)</f>
        <v>1710.45</v>
      </c>
      <c r="M58" s="182">
        <f>IF($H58="-","-",(($K58/(-0.8+1)*((1/(1-$H58))^(-0.8+1)-1))))</f>
        <v>2025.9883784388162</v>
      </c>
      <c r="N58" s="182">
        <f>IF($H58="-","-",(($K58/(-1.2+1)*((1/(1-$H58))^(-1.2+1)-1))))</f>
        <v>1912.7103261126986</v>
      </c>
      <c r="O58" s="57"/>
    </row>
    <row r="59" spans="1:15" ht="42.75">
      <c r="A59" s="183" t="s">
        <v>225</v>
      </c>
      <c r="B59" s="183" t="s">
        <v>226</v>
      </c>
      <c r="C59" s="184" t="s">
        <v>227</v>
      </c>
      <c r="D59" s="101" t="s">
        <v>54</v>
      </c>
      <c r="E59" s="185" t="s">
        <v>62</v>
      </c>
      <c r="F59" s="186" t="s">
        <v>63</v>
      </c>
      <c r="G59" s="186" t="s">
        <v>63</v>
      </c>
      <c r="H59" s="186" t="s">
        <v>63</v>
      </c>
      <c r="I59" s="187">
        <v>491.4</v>
      </c>
      <c r="J59" s="188">
        <v>900</v>
      </c>
      <c r="K59" s="189">
        <f>IF(J59="-",0,I59*J59)</f>
        <v>442260</v>
      </c>
      <c r="L59" s="190" t="str">
        <f>IF(H59="-","-",K59*H59)</f>
        <v>-</v>
      </c>
      <c r="M59" s="191" t="str">
        <f>IF($H59="-","-",(($K59/(-0.8+1)*((1/(1-$H59))^(-0.8+1)-1))))</f>
        <v>-</v>
      </c>
      <c r="N59" s="191" t="str">
        <f>IF($H59="-","-",(($K59/(-1.2+1)*((1/(1-$H59))^(-1.2+1)-1))))</f>
        <v>-</v>
      </c>
      <c r="O59" s="57"/>
    </row>
    <row r="60" spans="1:15" ht="96">
      <c r="A60" s="64" t="s">
        <v>228</v>
      </c>
      <c r="B60" s="64" t="s">
        <v>229</v>
      </c>
      <c r="C60" s="65" t="s">
        <v>230</v>
      </c>
      <c r="D60" s="66" t="s">
        <v>40</v>
      </c>
      <c r="E60" s="67" t="s">
        <v>72</v>
      </c>
      <c r="F60" s="68">
        <v>0</v>
      </c>
      <c r="G60" s="68">
        <v>0.1</v>
      </c>
      <c r="H60" s="68">
        <v>0.05</v>
      </c>
      <c r="I60" s="69">
        <v>240.6</v>
      </c>
      <c r="J60" s="70">
        <f>1445+415</f>
        <v>1860</v>
      </c>
      <c r="K60" s="71">
        <f>IF(J60="-",0,I60*J60)</f>
        <v>447516</v>
      </c>
      <c r="L60" s="72">
        <f>IF(H60="-","-",K60*H60)</f>
        <v>22375.800000000003</v>
      </c>
      <c r="M60" s="73">
        <f>IF($H60="-","-",(($K60/(-0.8+1)*((1/(1-$H60))^(-0.8+1)-1))))</f>
        <v>23072.71514062744</v>
      </c>
      <c r="N60" s="73">
        <f>IF($H60="-","-",(($K60/(-1.2+1)*((1/(1-$H60))^(-1.2+1)-1))))</f>
        <v>22837.229972828267</v>
      </c>
      <c r="O60" s="57"/>
    </row>
    <row r="61" spans="1:15" ht="16.5">
      <c r="A61" s="85" t="s">
        <v>231</v>
      </c>
      <c r="B61" s="85" t="s">
        <v>232</v>
      </c>
      <c r="C61" s="86" t="s">
        <v>233</v>
      </c>
      <c r="D61" s="87" t="s">
        <v>48</v>
      </c>
      <c r="E61" s="88" t="s">
        <v>72</v>
      </c>
      <c r="F61" s="89">
        <v>0</v>
      </c>
      <c r="G61" s="89">
        <v>0.1</v>
      </c>
      <c r="H61" s="89">
        <v>0.05</v>
      </c>
      <c r="I61" s="90">
        <v>440.6</v>
      </c>
      <c r="J61" s="91">
        <v>11172</v>
      </c>
      <c r="K61" s="92">
        <f>IF(J61="-",0,I61*J61)</f>
        <v>4922383.2</v>
      </c>
      <c r="L61" s="93">
        <f>IF(H61="-","-",K61*H61)</f>
        <v>246119.16000000003</v>
      </c>
      <c r="M61" s="94">
        <f>IF($H61="-","-",(($K61/(-0.8+1)*((1/(1-$H61))^(-0.8+1)-1))))</f>
        <v>253784.7705704604</v>
      </c>
      <c r="N61" s="94">
        <f>IF($H61="-","-",(($K61/(-1.2+1)*((1/(1-$H61))^(-1.2+1)-1))))</f>
        <v>251194.5877975007</v>
      </c>
      <c r="O61" s="57"/>
    </row>
    <row r="62" spans="1:15" ht="29.25">
      <c r="A62" s="47" t="s">
        <v>234</v>
      </c>
      <c r="B62" s="47" t="s">
        <v>235</v>
      </c>
      <c r="C62" s="48" t="s">
        <v>236</v>
      </c>
      <c r="D62" s="49" t="s">
        <v>34</v>
      </c>
      <c r="E62" s="50" t="s">
        <v>68</v>
      </c>
      <c r="F62" s="51" t="s">
        <v>63</v>
      </c>
      <c r="G62" s="51" t="s">
        <v>63</v>
      </c>
      <c r="H62" s="51" t="s">
        <v>63</v>
      </c>
      <c r="I62" s="157">
        <v>2087.7</v>
      </c>
      <c r="J62" s="158">
        <v>31</v>
      </c>
      <c r="K62" s="54">
        <f>IF(J62="-",0,I62*J62)</f>
        <v>64718.7</v>
      </c>
      <c r="L62" s="55" t="str">
        <f>IF(H62="-","-",K62*H62)</f>
        <v>-</v>
      </c>
      <c r="M62" s="56" t="str">
        <f>IF($H62="-","-",(($K62/(-0.8+1)*((1/(1-$H62))^(-0.8+1)-1))))</f>
        <v>-</v>
      </c>
      <c r="N62" s="56" t="str">
        <f>IF($H62="-","-",(($K62/(-1.2+1)*((1/(1-$H62))^(-1.2+1)-1))))</f>
        <v>-</v>
      </c>
      <c r="O62" s="57"/>
    </row>
    <row r="63" spans="1:15" ht="16.5">
      <c r="A63" s="85" t="s">
        <v>237</v>
      </c>
      <c r="B63" s="85" t="s">
        <v>238</v>
      </c>
      <c r="C63" s="86" t="s">
        <v>239</v>
      </c>
      <c r="D63" s="87" t="s">
        <v>48</v>
      </c>
      <c r="E63" s="88" t="s">
        <v>130</v>
      </c>
      <c r="F63" s="89">
        <v>0.9</v>
      </c>
      <c r="G63" s="89">
        <v>1</v>
      </c>
      <c r="H63" s="89">
        <v>0.95</v>
      </c>
      <c r="I63" s="90">
        <v>243.3</v>
      </c>
      <c r="J63" s="91">
        <v>10174</v>
      </c>
      <c r="K63" s="92">
        <f>IF(J63="-",0,I63*J63)</f>
        <v>2475334.2</v>
      </c>
      <c r="L63" s="93">
        <f>IF(H63="-","-",K63*H63)</f>
        <v>2351567.49</v>
      </c>
      <c r="M63" s="94">
        <f>IF($H63="-","-",(($K63/(-0.8+1)*((1/(1-$H63))^(-0.8+1)-1))))</f>
        <v>10155853.175230997</v>
      </c>
      <c r="N63" s="94">
        <f>IF($H63="-","-",(($K63/(-1.2+1)*((1/(1-$H63))^(-1.2+1)-1))))</f>
        <v>5578409.790959463</v>
      </c>
      <c r="O63" s="57"/>
    </row>
    <row r="64" spans="1:15" ht="29.25">
      <c r="A64" s="119" t="s">
        <v>240</v>
      </c>
      <c r="B64" s="119" t="s">
        <v>241</v>
      </c>
      <c r="C64" s="120" t="s">
        <v>242</v>
      </c>
      <c r="D64" s="121" t="s">
        <v>36</v>
      </c>
      <c r="E64" s="122" t="s">
        <v>68</v>
      </c>
      <c r="F64" s="123">
        <v>0</v>
      </c>
      <c r="G64" s="123">
        <v>0</v>
      </c>
      <c r="H64" s="123">
        <v>0</v>
      </c>
      <c r="I64" s="124">
        <v>230.1</v>
      </c>
      <c r="J64" s="125">
        <v>14555</v>
      </c>
      <c r="K64" s="126">
        <f>IF(J64="-",0,I64*J64)</f>
        <v>3349105.5</v>
      </c>
      <c r="L64" s="127">
        <f>IF(H64="-","-",K64*H64)</f>
        <v>0</v>
      </c>
      <c r="M64" s="128">
        <f>IF($H64="-","-",(($K64/(-0.8+1)*((1/(1-$H64))^(-0.8+1)-1))))</f>
        <v>0</v>
      </c>
      <c r="N64" s="128">
        <f>IF($H64="-","-",(($K64/(-1.2+1)*((1/(1-$H64))^(-1.2+1)-1))))</f>
        <v>0</v>
      </c>
      <c r="O64" s="57"/>
    </row>
    <row r="65" spans="1:14" ht="16.5">
      <c r="A65" s="2"/>
      <c r="I65" s="205"/>
      <c r="J65" s="206"/>
      <c r="K65" s="207"/>
      <c r="L65" s="208"/>
      <c r="M65" s="209"/>
      <c r="N65" s="209"/>
    </row>
    <row r="66" spans="1:14" ht="30" customHeight="1">
      <c r="A66" s="210" t="s">
        <v>243</v>
      </c>
      <c r="B66" s="210" t="s">
        <v>248</v>
      </c>
      <c r="C66" s="210"/>
      <c r="D66" s="210"/>
      <c r="E66" s="210"/>
      <c r="F66" s="211">
        <f>AVERAGE(F9:F64)</f>
        <v>0.1906976744186047</v>
      </c>
      <c r="G66" s="211">
        <f>AVERAGE(G9:G64)</f>
        <v>0.37674418604651166</v>
      </c>
      <c r="H66" s="211">
        <f>AVERAGE(H9:H64)</f>
        <v>0.2837209302325582</v>
      </c>
      <c r="I66" s="212">
        <f>AVERAGE(I9:I64)</f>
        <v>607.9660714285714</v>
      </c>
      <c r="J66" s="213">
        <f>AVERAGE(J9:J64)</f>
        <v>4350.8490566037735</v>
      </c>
      <c r="K66" s="214">
        <f>SUM(K9:K64)</f>
        <v>66586027.00000001</v>
      </c>
      <c r="L66" s="215">
        <f>SUM(L9:L64)</f>
        <v>9253992.344999999</v>
      </c>
      <c r="M66" s="216">
        <f>SUM(M9:M64)</f>
        <v>25738930.83250357</v>
      </c>
      <c r="N66" s="216">
        <f>SUM(N9:N64)</f>
        <v>16627104.33785734</v>
      </c>
    </row>
  </sheetData>
  <sheetProtection selectLockedCells="1" selectUnlockedCells="1"/>
  <mergeCells count="10">
    <mergeCell ref="A2:N2"/>
    <mergeCell ref="A3:N3"/>
    <mergeCell ref="P3:V3"/>
    <mergeCell ref="F4:H4"/>
    <mergeCell ref="I4:N4"/>
    <mergeCell ref="M5:N5"/>
    <mergeCell ref="U5:V5"/>
    <mergeCell ref="B6:D6"/>
    <mergeCell ref="E6:H6"/>
    <mergeCell ref="A66:E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L66"/>
  <sheetViews>
    <sheetView zoomScale="90" zoomScaleNormal="90" workbookViewId="0" topLeftCell="A46">
      <selection activeCell="A9" sqref="A9:A63"/>
    </sheetView>
  </sheetViews>
  <sheetFormatPr defaultColWidth="11.00390625" defaultRowHeight="12.75"/>
  <cols>
    <col min="1" max="1" width="10.75390625" style="1" customWidth="1"/>
    <col min="2" max="2" width="14.00390625" style="2" customWidth="1"/>
    <col min="3" max="3" width="40.75390625" style="3" customWidth="1"/>
    <col min="4" max="4" width="12.75390625" style="1" customWidth="1"/>
    <col min="5" max="5" width="11.75390625" style="4" customWidth="1"/>
    <col min="6" max="8" width="10.75390625" style="4" customWidth="1"/>
    <col min="9" max="9" width="14.625" style="1" customWidth="1"/>
    <col min="10" max="10" width="14.00390625" style="1" customWidth="1"/>
    <col min="11" max="11" width="16.875" style="5" customWidth="1"/>
    <col min="12" max="12" width="15.75390625" style="6" customWidth="1"/>
    <col min="13" max="14" width="15.75390625" style="7" customWidth="1"/>
    <col min="15" max="15" width="10.75390625" style="1" customWidth="1"/>
    <col min="16" max="16" width="12.375" style="1" customWidth="1"/>
    <col min="17" max="17" width="14.125" style="1" customWidth="1"/>
    <col min="18" max="18" width="24.75390625" style="1" customWidth="1"/>
    <col min="19" max="19" width="21.25390625" style="1" customWidth="1"/>
    <col min="20" max="20" width="14.125" style="1" customWidth="1"/>
    <col min="21" max="22" width="18.75390625" style="1" customWidth="1"/>
    <col min="23" max="245" width="10.75390625" style="1" customWidth="1"/>
    <col min="246" max="16384" width="10.75390625" style="0" customWidth="1"/>
  </cols>
  <sheetData>
    <row r="1" spans="2:14" s="8" customFormat="1" ht="12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36.75" customHeight="1">
      <c r="A2" s="248" t="s">
        <v>279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22" s="11" customFormat="1" ht="60.75" customHeight="1">
      <c r="A3" s="248" t="s">
        <v>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P3" s="12" t="s">
        <v>2</v>
      </c>
      <c r="Q3" s="12"/>
      <c r="R3" s="12"/>
      <c r="S3" s="12"/>
      <c r="T3" s="12"/>
      <c r="U3" s="12"/>
      <c r="V3" s="12"/>
    </row>
    <row r="4" spans="6:246" ht="61.5" customHeight="1">
      <c r="F4" s="13" t="s">
        <v>3</v>
      </c>
      <c r="G4" s="13"/>
      <c r="H4" s="13"/>
      <c r="I4" s="14" t="s">
        <v>4</v>
      </c>
      <c r="J4" s="14"/>
      <c r="K4" s="14"/>
      <c r="L4" s="14"/>
      <c r="M4" s="14"/>
      <c r="N4" s="14"/>
      <c r="IL4" s="1"/>
    </row>
    <row r="5" spans="1:246" ht="78.75" customHeight="1">
      <c r="A5" s="15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8" t="s">
        <v>11</v>
      </c>
      <c r="H5" s="17" t="s">
        <v>12</v>
      </c>
      <c r="I5" s="19" t="s">
        <v>13</v>
      </c>
      <c r="J5" s="19" t="s">
        <v>14</v>
      </c>
      <c r="K5" s="20" t="s">
        <v>15</v>
      </c>
      <c r="L5" s="21" t="s">
        <v>16</v>
      </c>
      <c r="M5" s="22" t="s">
        <v>17</v>
      </c>
      <c r="N5" s="22"/>
      <c r="P5" s="16" t="s">
        <v>8</v>
      </c>
      <c r="Q5" s="23" t="s">
        <v>18</v>
      </c>
      <c r="R5" s="20" t="s">
        <v>15</v>
      </c>
      <c r="S5" s="21" t="s">
        <v>16</v>
      </c>
      <c r="T5" s="24" t="s">
        <v>19</v>
      </c>
      <c r="U5" s="22" t="s">
        <v>17</v>
      </c>
      <c r="V5" s="22"/>
      <c r="IL5" s="1"/>
    </row>
    <row r="6" spans="1:246" ht="47.25" customHeight="1">
      <c r="A6" s="25"/>
      <c r="B6" s="26" t="s">
        <v>20</v>
      </c>
      <c r="C6" s="26"/>
      <c r="D6" s="26"/>
      <c r="E6" s="27" t="s">
        <v>21</v>
      </c>
      <c r="F6" s="27"/>
      <c r="G6" s="27"/>
      <c r="H6" s="27"/>
      <c r="I6" s="28" t="s">
        <v>20</v>
      </c>
      <c r="J6" s="28" t="s">
        <v>22</v>
      </c>
      <c r="K6" s="29" t="s">
        <v>23</v>
      </c>
      <c r="L6" s="30" t="s">
        <v>24</v>
      </c>
      <c r="M6" s="31">
        <v>-0.8</v>
      </c>
      <c r="N6" s="31">
        <v>-1.2</v>
      </c>
      <c r="P6" s="32"/>
      <c r="Q6" s="33" t="s">
        <v>25</v>
      </c>
      <c r="R6" s="29" t="s">
        <v>23</v>
      </c>
      <c r="S6" s="30" t="s">
        <v>26</v>
      </c>
      <c r="T6" s="34" t="s">
        <v>27</v>
      </c>
      <c r="U6" s="31">
        <v>-0.8</v>
      </c>
      <c r="V6" s="31">
        <v>-1.2</v>
      </c>
      <c r="IL6" s="1"/>
    </row>
    <row r="7" spans="2:246" ht="27.75" customHeight="1">
      <c r="B7" s="35"/>
      <c r="C7" s="36"/>
      <c r="D7" s="37"/>
      <c r="E7" s="38"/>
      <c r="F7" s="39"/>
      <c r="G7" s="39"/>
      <c r="H7" s="39"/>
      <c r="I7" s="19" t="s">
        <v>28</v>
      </c>
      <c r="J7" s="19" t="s">
        <v>29</v>
      </c>
      <c r="K7" s="40" t="s">
        <v>30</v>
      </c>
      <c r="L7" s="41" t="s">
        <v>30</v>
      </c>
      <c r="M7" s="42" t="s">
        <v>30</v>
      </c>
      <c r="N7" s="42" t="s">
        <v>30</v>
      </c>
      <c r="P7" s="43"/>
      <c r="Q7" s="19"/>
      <c r="R7" s="40"/>
      <c r="S7" s="41"/>
      <c r="T7" s="44"/>
      <c r="U7" s="42"/>
      <c r="V7" s="42"/>
      <c r="IL7" s="1"/>
    </row>
    <row r="8" spans="2:246" ht="16.5">
      <c r="B8" s="35"/>
      <c r="C8" s="36"/>
      <c r="D8" s="37"/>
      <c r="E8" s="38"/>
      <c r="F8" s="39"/>
      <c r="G8" s="39"/>
      <c r="H8" s="39"/>
      <c r="I8" s="19"/>
      <c r="J8" s="19"/>
      <c r="K8" s="40"/>
      <c r="L8" s="41"/>
      <c r="M8" s="42"/>
      <c r="N8" s="42"/>
      <c r="P8" s="43"/>
      <c r="Q8" s="43"/>
      <c r="R8" s="40"/>
      <c r="S8" s="45"/>
      <c r="T8" s="44"/>
      <c r="U8" s="46"/>
      <c r="V8" s="46"/>
      <c r="IL8" s="1"/>
    </row>
    <row r="9" spans="1:22" ht="29.25">
      <c r="A9" s="47" t="s">
        <v>31</v>
      </c>
      <c r="B9" s="47" t="s">
        <v>32</v>
      </c>
      <c r="C9" s="48" t="s">
        <v>33</v>
      </c>
      <c r="D9" s="49" t="s">
        <v>34</v>
      </c>
      <c r="E9" s="50" t="s">
        <v>35</v>
      </c>
      <c r="F9" s="51">
        <v>0.4</v>
      </c>
      <c r="G9" s="51">
        <v>0.9</v>
      </c>
      <c r="H9" s="51">
        <v>0.65</v>
      </c>
      <c r="I9" s="52">
        <v>687.9</v>
      </c>
      <c r="J9" s="53">
        <v>1050</v>
      </c>
      <c r="K9" s="54">
        <f>IF(J9="-",0,I9*J9)</f>
        <v>722295</v>
      </c>
      <c r="L9" s="55">
        <f>IF(H9="-","-",$K9*H9)</f>
        <v>469491.75</v>
      </c>
      <c r="M9" s="56">
        <f>IF($H9="-","-",(($K9/(-0.8+1)*((1/(1-$H9))^(-0.8+1)-1))))</f>
        <v>843763.9731898245</v>
      </c>
      <c r="N9" s="56">
        <f>IF($H9="-","-",(($K9/(-1.2+1)*((1/(1-$H9))^(-1.2+1)-1))))</f>
        <v>683966.1157152227</v>
      </c>
      <c r="O9" s="57"/>
      <c r="P9" s="58" t="s">
        <v>36</v>
      </c>
      <c r="Q9" s="59">
        <f>SUMIF($D$9:$D$64,$P9,$K$9:$K$64)/SUMIF($D$9:$D$64,$P9,$J$9:$J$64)</f>
        <v>211.058933247818</v>
      </c>
      <c r="R9" s="217">
        <f>SUMIF($D$9:$D$64,$P9,$K$9:$K$64)</f>
        <v>1642756312.1</v>
      </c>
      <c r="S9" s="218">
        <f>SUMIF($D$9:$D$64,$P9,$L$9:$L$64)</f>
        <v>0</v>
      </c>
      <c r="T9" s="62">
        <f>IF(R9=0,"-",S9/R9)</f>
        <v>0</v>
      </c>
      <c r="U9" s="219">
        <f>SUMIF($D$9:$D$64,$P9,$M$9:$M$64)</f>
        <v>0</v>
      </c>
      <c r="V9" s="219">
        <f>SUMIF($D$9:$D$64,$P9,$N$9:$N$64)</f>
        <v>0</v>
      </c>
    </row>
    <row r="10" spans="1:22" ht="16.5">
      <c r="A10" s="64" t="s">
        <v>37</v>
      </c>
      <c r="B10" s="64" t="s">
        <v>38</v>
      </c>
      <c r="C10" s="65" t="s">
        <v>39</v>
      </c>
      <c r="D10" s="66" t="s">
        <v>40</v>
      </c>
      <c r="E10" s="67" t="s">
        <v>35</v>
      </c>
      <c r="F10" s="68">
        <v>0.4</v>
      </c>
      <c r="G10" s="68">
        <v>0.9</v>
      </c>
      <c r="H10" s="68">
        <v>0.65</v>
      </c>
      <c r="I10" s="69">
        <v>342.2</v>
      </c>
      <c r="J10" s="70">
        <v>23573</v>
      </c>
      <c r="K10" s="71">
        <f>IF(J10="-",0,I10*J10)</f>
        <v>8066680.6</v>
      </c>
      <c r="L10" s="72">
        <f>IF(H10="-","-",K10*H10)</f>
        <v>5243342.39</v>
      </c>
      <c r="M10" s="73">
        <f>IF($H10="-","-",(($K10/(-0.8+1)*((1/(1-$H10))^(-0.8+1)-1))))</f>
        <v>9423261.234688425</v>
      </c>
      <c r="N10" s="73">
        <f>IF($H10="-","-",(($K10/(-1.2+1)*((1/(1-$H10))^(-1.2+1)-1))))</f>
        <v>7638618.842297595</v>
      </c>
      <c r="O10" s="57"/>
      <c r="P10" s="66" t="s">
        <v>40</v>
      </c>
      <c r="Q10" s="74">
        <f>SUMIF($D$9:$D$64,$P10,$K$9:$K$64)/SUMIF($D$9:$D$64,$P10,$J$9:$J$64)</f>
        <v>598.4010014468956</v>
      </c>
      <c r="R10" s="220">
        <f>SUMIF($D$9:$D$64,$P10,$K$9:$K$64)</f>
        <v>184041219.99999997</v>
      </c>
      <c r="S10" s="221">
        <f>SUMIF($D$9:$D$64,$P10,$L$9:$L$64)</f>
        <v>18292507.71</v>
      </c>
      <c r="T10" s="77">
        <f>IF(R10=0,"-",S10/R10)</f>
        <v>0.09939353645884332</v>
      </c>
      <c r="U10" s="222">
        <f>SUMIF($D$9:$D$64,$P10,$M$9:$M$64)</f>
        <v>32187434.731193334</v>
      </c>
      <c r="V10" s="222">
        <f>SUMIF($D$9:$D$64,$P10,$N$9:$N$64)</f>
        <v>26268968.969635107</v>
      </c>
    </row>
    <row r="11" spans="1:22" ht="29.25">
      <c r="A11" s="64" t="s">
        <v>41</v>
      </c>
      <c r="B11" s="64" t="s">
        <v>42</v>
      </c>
      <c r="C11" s="65" t="s">
        <v>43</v>
      </c>
      <c r="D11" s="66" t="s">
        <v>40</v>
      </c>
      <c r="E11" s="67" t="s">
        <v>35</v>
      </c>
      <c r="F11" s="68">
        <v>0.4</v>
      </c>
      <c r="G11" s="68">
        <v>0.9</v>
      </c>
      <c r="H11" s="68">
        <v>0.65</v>
      </c>
      <c r="I11" s="69">
        <v>745.8</v>
      </c>
      <c r="J11" s="70">
        <v>55</v>
      </c>
      <c r="K11" s="71">
        <f>IF(J11="-",0,I11*J11)</f>
        <v>41019</v>
      </c>
      <c r="L11" s="72">
        <f>IF(H11="-","-",K11*H11)</f>
        <v>26662.350000000002</v>
      </c>
      <c r="M11" s="73">
        <f>IF($H11="-","-",(($K11/(-0.8+1)*((1/(1-$H11))^(-0.8+1)-1))))</f>
        <v>47917.20061231687</v>
      </c>
      <c r="N11" s="73">
        <f>IF($H11="-","-",(($K11/(-1.2+1)*((1/(1-$H11))^(-1.2+1)-1))))</f>
        <v>38842.309721821024</v>
      </c>
      <c r="O11" s="57"/>
      <c r="P11" s="79" t="s">
        <v>44</v>
      </c>
      <c r="Q11" s="80">
        <f>SUMIF($D$9:$D$64,$P11,$K$9:$K$64)/SUMIF($D$9:$D$64,$P11,$J$9:$J$64)</f>
        <v>373.2245162654913</v>
      </c>
      <c r="R11" s="223">
        <f>SUMIF($D$9:$D$64,$P11,$K$9:$K$64)</f>
        <v>142929314.3</v>
      </c>
      <c r="S11" s="224">
        <f>SUMIF($D$9:$D$64,$P11,$L$9:$L$64)</f>
        <v>34704935.465</v>
      </c>
      <c r="T11" s="83">
        <f>IF(R11=0,"-",S11/R11)</f>
        <v>0.24281187966910997</v>
      </c>
      <c r="U11" s="225">
        <f>SUMIF($D$9:$D$64,$P11,$M$9:$M$64)</f>
        <v>41104314.47883177</v>
      </c>
      <c r="V11" s="225">
        <f>SUMIF($D$9:$D$64,$P11,$N$9:$N$64)</f>
        <v>38806954.32004716</v>
      </c>
    </row>
    <row r="12" spans="1:22" ht="42.75">
      <c r="A12" s="85" t="s">
        <v>45</v>
      </c>
      <c r="B12" s="85" t="s">
        <v>46</v>
      </c>
      <c r="C12" s="86" t="s">
        <v>47</v>
      </c>
      <c r="D12" s="87" t="s">
        <v>48</v>
      </c>
      <c r="E12" s="88" t="s">
        <v>49</v>
      </c>
      <c r="F12" s="89" t="str">
        <f>IF(E12="No aumenta",0,IF(E12="Pequeña",0,IF(E12="Moderada",0.1,IF(E12="Grande",0.4,IF(E12="Esencial",0.9,"-")))))</f>
        <v>-</v>
      </c>
      <c r="G12" s="89" t="str">
        <f>IF(E12="No aumenta",0,IF(E12="Pequeña",0.1,IF(E12="Moderada",0.4,IF(E12="Grande",0.9,IF(E12="Esencial",1,"-")))))</f>
        <v>-</v>
      </c>
      <c r="H12" s="89" t="str">
        <f>IF(F12="-","-",AVERAGE(F12:G12))</f>
        <v>-</v>
      </c>
      <c r="I12" s="90">
        <v>661.2</v>
      </c>
      <c r="J12" s="91">
        <v>100</v>
      </c>
      <c r="K12" s="92">
        <f>IF(J12="-",0,I12*J12)</f>
        <v>66120</v>
      </c>
      <c r="L12" s="93" t="str">
        <f>IF(H12="-","-",K12*H12)</f>
        <v>-</v>
      </c>
      <c r="M12" s="94" t="str">
        <f>IF($H12="-","-",(($K12/(-0.8+1)*((1/(1-$H12))^(-0.8+1)-1))))</f>
        <v>-</v>
      </c>
      <c r="N12" s="94" t="str">
        <f>IF($H12="-","-",(($K12/(-1.2+1)*((1/(1-$H12))^(-1.2+1)-1))))</f>
        <v>-</v>
      </c>
      <c r="O12" s="57"/>
      <c r="P12" s="95" t="s">
        <v>50</v>
      </c>
      <c r="Q12" s="96">
        <f>SUMIF($D$9:$D$64,$P12,$K$9:$K$64)/SUMIF($D$9:$D$64,$P12,$J$9:$J$64)</f>
        <v>380.0739114796304</v>
      </c>
      <c r="R12" s="226">
        <f>SUMIF($D$9:$D$64,$P12,$K$9:$K$64)</f>
        <v>40154048.599999994</v>
      </c>
      <c r="S12" s="227">
        <f>SUMIF($D$9:$D$64,$P12,$L$9:$L$64)</f>
        <v>600780.2250000001</v>
      </c>
      <c r="T12" s="99">
        <f>IF(R12=0,"-",S12/R12)</f>
        <v>0.014961884192170854</v>
      </c>
      <c r="U12" s="228">
        <f>SUMIF($D$9:$D$64,$P12,$M$9:$M$64)</f>
        <v>625307.5307104569</v>
      </c>
      <c r="V12" s="228">
        <f>SUMIF($D$9:$D$64,$P12,$N$9:$N$64)</f>
        <v>616872.1899274988</v>
      </c>
    </row>
    <row r="13" spans="1:22" ht="42.75">
      <c r="A13" s="85" t="s">
        <v>51</v>
      </c>
      <c r="B13" s="85" t="s">
        <v>52</v>
      </c>
      <c r="C13" s="86" t="s">
        <v>53</v>
      </c>
      <c r="D13" s="87" t="s">
        <v>48</v>
      </c>
      <c r="E13" s="88" t="s">
        <v>49</v>
      </c>
      <c r="F13" s="89" t="str">
        <f>IF(E13="No aumenta",0,IF(E13="Pequeña",0,IF(E13="Moderada",0.1,IF(E13="Grande",0.4,IF(E13="Esencial",0.9,"-")))))</f>
        <v>-</v>
      </c>
      <c r="G13" s="89" t="str">
        <f>IF(E13="No aumenta",0,IF(E13="Pequeña",0.1,IF(E13="Moderada",0.4,IF(E13="Grande",0.9,IF(E13="Esencial",1,"-")))))</f>
        <v>-</v>
      </c>
      <c r="H13" s="89" t="str">
        <f>IF(F13="-","-",AVERAGE(F13:G13))</f>
        <v>-</v>
      </c>
      <c r="I13" s="90">
        <v>1257.3</v>
      </c>
      <c r="J13" s="91">
        <v>674</v>
      </c>
      <c r="K13" s="92">
        <f>IF(J13="-",0,I13*J13)</f>
        <v>847420.2</v>
      </c>
      <c r="L13" s="93" t="str">
        <f>IF(H13="-","-",K13*H13)</f>
        <v>-</v>
      </c>
      <c r="M13" s="94" t="str">
        <f>IF($H13="-","-",(($K13/(-0.8+1)*((1/(1-$H13))^(-0.8+1)-1))))</f>
        <v>-</v>
      </c>
      <c r="N13" s="94" t="str">
        <f>IF($H13="-","-",(($K13/(-1.2+1)*((1/(1-$H13))^(-1.2+1)-1))))</f>
        <v>-</v>
      </c>
      <c r="O13" s="57"/>
      <c r="P13" s="101" t="s">
        <v>54</v>
      </c>
      <c r="Q13" s="102">
        <f>SUMIF($D$9:$D$64,$P13,$K$9:$K$64)/SUMIF($D$9:$D$64,$P13,$J$9:$J$64)</f>
        <v>212.7</v>
      </c>
      <c r="R13" s="229">
        <f>SUMIF($D$9:$D$64,$P13,$K$9:$K$64)</f>
        <v>214353104.39999998</v>
      </c>
      <c r="S13" s="230">
        <f>SUMIF($D$9:$D$64,$P13,$L$9:$L$64)</f>
        <v>0</v>
      </c>
      <c r="T13" s="105">
        <f>IF(R13=0,"-",S13/R13)</f>
        <v>0</v>
      </c>
      <c r="U13" s="231">
        <f>SUMIF($D$9:$D$64,$P13,$M$9:$M$64)</f>
        <v>0</v>
      </c>
      <c r="V13" s="231">
        <f>SUMIF($D$9:$D$64,$P13,$N$9:$N$64)</f>
        <v>0</v>
      </c>
    </row>
    <row r="14" spans="1:22" ht="16.5">
      <c r="A14" s="119" t="s">
        <v>65</v>
      </c>
      <c r="B14" s="119" t="s">
        <v>66</v>
      </c>
      <c r="C14" s="120" t="s">
        <v>67</v>
      </c>
      <c r="D14" s="121" t="s">
        <v>36</v>
      </c>
      <c r="E14" s="122" t="s">
        <v>68</v>
      </c>
      <c r="F14" s="123">
        <v>0</v>
      </c>
      <c r="G14" s="123">
        <v>0</v>
      </c>
      <c r="H14" s="123">
        <v>0</v>
      </c>
      <c r="I14" s="124">
        <v>194.8</v>
      </c>
      <c r="J14" s="125">
        <v>3121193</v>
      </c>
      <c r="K14" s="126">
        <f>IF(J14="-",0,I14*J14)</f>
        <v>608008396.4</v>
      </c>
      <c r="L14" s="127">
        <f>IF(H14="-","-",K14*H14)</f>
        <v>0</v>
      </c>
      <c r="M14" s="128">
        <f>IF($H14="-","-",(($K14/(-0.8+1)*((1/(1-$H14))^(-0.8+1)-1))))</f>
        <v>0</v>
      </c>
      <c r="N14" s="128">
        <f>IF($H14="-","-",(($K14/(-1.2+1)*((1/(1-$H14))^(-1.2+1)-1))))</f>
        <v>0</v>
      </c>
      <c r="O14" s="57"/>
      <c r="P14" s="113" t="s">
        <v>64</v>
      </c>
      <c r="Q14" s="114">
        <f>SUMIF($D$9:$D$64,$P14,$K$9:$K$64)/SUMIF($D$9:$D$64,$P14,$J$9:$J$64)</f>
        <v>31.2</v>
      </c>
      <c r="R14" s="245">
        <f>SUMIF($D$9:$D$64,$P14,$K$9:$K$64)</f>
        <v>101109028.8</v>
      </c>
      <c r="S14" s="246">
        <f>SUMIF($D$9:$D$64,$P14,$L$9:$L$64)</f>
        <v>0</v>
      </c>
      <c r="T14" s="117">
        <f>IF(R14=0,"-",S14/R14)</f>
        <v>0</v>
      </c>
      <c r="U14" s="247">
        <f>SUMIF($D$9:$D$64,$P14,$M$9:$M$64)</f>
        <v>0</v>
      </c>
      <c r="V14" s="247">
        <f>SUMIF($D$9:$D$64,$P14,$N$9:$N$64)</f>
        <v>0</v>
      </c>
    </row>
    <row r="15" spans="1:22" ht="42.75">
      <c r="A15" s="134" t="s">
        <v>69</v>
      </c>
      <c r="B15" s="134" t="s">
        <v>70</v>
      </c>
      <c r="C15" s="135" t="s">
        <v>71</v>
      </c>
      <c r="D15" s="95" t="s">
        <v>50</v>
      </c>
      <c r="E15" s="136" t="s">
        <v>72</v>
      </c>
      <c r="F15" s="137">
        <v>0</v>
      </c>
      <c r="G15" s="137">
        <v>0.1</v>
      </c>
      <c r="H15" s="137">
        <v>0.05</v>
      </c>
      <c r="I15" s="138">
        <v>1857.6</v>
      </c>
      <c r="J15" s="139">
        <v>6060</v>
      </c>
      <c r="K15" s="140">
        <f>IF(J15="-",0,I15*J15)</f>
        <v>11257056</v>
      </c>
      <c r="L15" s="141">
        <f>IF(H15="-","-",K15*H15)</f>
        <v>562852.8</v>
      </c>
      <c r="M15" s="142">
        <f>IF($H15="-","-",(($K15/(-0.8+1)*((1/(1-$H15))^(-0.8+1)-1))))</f>
        <v>580383.374918642</v>
      </c>
      <c r="N15" s="142">
        <f>IF($H15="-","-",(($K15/(-1.2+1)*((1/(1-$H15))^(-1.2+1)-1))))</f>
        <v>574459.8554889797</v>
      </c>
      <c r="O15" s="57"/>
      <c r="P15" s="49" t="s">
        <v>34</v>
      </c>
      <c r="Q15" s="129">
        <f>SUMIF($D$9:$D$64,$P15,$K$9:$K$64)/SUMIF($D$9:$D$64,$P15,$J$9:$J$64)</f>
        <v>1477.1514094548645</v>
      </c>
      <c r="R15" s="232">
        <f>SUMIF($D$9:$D$64,$P15,$K$9:$K$64)</f>
        <v>13467189.4</v>
      </c>
      <c r="S15" s="233">
        <f>SUMIF($D$9:$D$64,$P15,$L$9:$L$64)</f>
        <v>3295591.75</v>
      </c>
      <c r="T15" s="132">
        <f>IF(R15=0,"-",S15/R15)</f>
        <v>0.24471266068330486</v>
      </c>
      <c r="U15" s="234">
        <f>SUMIF($D$9:$D$64,$P15,$M$9:$M$64)</f>
        <v>4191213.9169507874</v>
      </c>
      <c r="V15" s="234">
        <f>SUMIF($D$9:$D$64,$P15,$N$9:$N$64)</f>
        <v>3844251.8023047736</v>
      </c>
    </row>
    <row r="16" spans="1:22" ht="29.25">
      <c r="A16" s="85" t="s">
        <v>73</v>
      </c>
      <c r="B16" s="85" t="s">
        <v>74</v>
      </c>
      <c r="C16" s="86" t="s">
        <v>75</v>
      </c>
      <c r="D16" s="87" t="s">
        <v>48</v>
      </c>
      <c r="E16" s="88" t="s">
        <v>72</v>
      </c>
      <c r="F16" s="89">
        <v>0</v>
      </c>
      <c r="G16" s="89">
        <v>0.1</v>
      </c>
      <c r="H16" s="89">
        <v>0.05</v>
      </c>
      <c r="I16" s="90">
        <v>1536</v>
      </c>
      <c r="J16" s="91">
        <v>7260</v>
      </c>
      <c r="K16" s="92">
        <f>IF(J16="-",0,I16*J16)</f>
        <v>11151360</v>
      </c>
      <c r="L16" s="93">
        <f>IF(H16="-","-",K16*H16)</f>
        <v>557568</v>
      </c>
      <c r="M16" s="94">
        <f>IF($H16="-","-",(($K16/(-0.8+1)*((1/(1-$H16))^(-0.8+1)-1))))</f>
        <v>574933.9748982991</v>
      </c>
      <c r="N16" s="94">
        <f>IF($H16="-","-",(($K16/(-1.2+1)*((1/(1-$H16))^(-1.2+1)-1))))</f>
        <v>569066.0732349195</v>
      </c>
      <c r="O16" s="57"/>
      <c r="P16" s="87" t="s">
        <v>48</v>
      </c>
      <c r="Q16" s="143">
        <f>SUMIF($D$9:$D$64,$P16,$K$9:$K$64)/SUMIF($D$9:$D$64,$P16,$J$9:$J$64)</f>
        <v>398.7769333886051</v>
      </c>
      <c r="R16" s="235">
        <f>SUMIF($D$9:$D$64,$P16,$K$9:$K$64)</f>
        <v>148144833.20000002</v>
      </c>
      <c r="S16" s="236">
        <f>SUMIF($D$9:$D$64,$P16,$L$9:$L$64)</f>
        <v>3999535.405</v>
      </c>
      <c r="T16" s="146">
        <f>IF(R16=0,"-",S16/R16)</f>
        <v>0.026997468076395924</v>
      </c>
      <c r="U16" s="237">
        <f>SUMIF($D$9:$D$64,$P16,$M$9:$M$64)</f>
        <v>13509807.459122255</v>
      </c>
      <c r="V16" s="237">
        <f>SUMIF($D$9:$D$64,$P16,$N$9:$N$64)</f>
        <v>7965004.979894285</v>
      </c>
    </row>
    <row r="17" spans="1:22" ht="42.75">
      <c r="A17" s="134" t="s">
        <v>254</v>
      </c>
      <c r="B17" s="134" t="s">
        <v>77</v>
      </c>
      <c r="C17" s="135" t="s">
        <v>78</v>
      </c>
      <c r="D17" s="95" t="s">
        <v>50</v>
      </c>
      <c r="E17" s="136" t="s">
        <v>79</v>
      </c>
      <c r="F17" s="137">
        <v>0.1</v>
      </c>
      <c r="G17" s="137">
        <v>0.4</v>
      </c>
      <c r="H17" s="137">
        <v>0.25</v>
      </c>
      <c r="I17" s="138">
        <v>256.7</v>
      </c>
      <c r="J17" s="139">
        <v>591</v>
      </c>
      <c r="K17" s="140">
        <f>IF(J17="-",0,I17*J17)</f>
        <v>151709.69999999998</v>
      </c>
      <c r="L17" s="141">
        <f>IF(H17="-","-",K17*H17)</f>
        <v>37927.424999999996</v>
      </c>
      <c r="M17" s="142">
        <f>IF($H17="-","-",(($K17/(-0.8+1)*((1/(1-$H17))^(-0.8+1)-1))))</f>
        <v>44924.15579181491</v>
      </c>
      <c r="N17" s="142">
        <f>IF($H17="-","-",(($K17/(-1.2+1)*((1/(1-$H17))^(-1.2+1)-1))))</f>
        <v>42412.33443851905</v>
      </c>
      <c r="O17" s="57"/>
      <c r="P17" s="57"/>
      <c r="Q17" s="57"/>
      <c r="R17" s="238"/>
      <c r="S17" s="239"/>
      <c r="T17" s="150"/>
      <c r="U17" s="240"/>
      <c r="V17" s="240"/>
    </row>
    <row r="18" spans="1:22" ht="42.75">
      <c r="A18" s="85" t="s">
        <v>81</v>
      </c>
      <c r="B18" s="85" t="s">
        <v>82</v>
      </c>
      <c r="C18" s="86" t="s">
        <v>83</v>
      </c>
      <c r="D18" s="87" t="s">
        <v>48</v>
      </c>
      <c r="E18" s="88" t="s">
        <v>49</v>
      </c>
      <c r="F18" s="89" t="str">
        <f>IF(E18="No aumenta",0,IF(E18="Pequeña",0,IF(E18="Moderada",0.1,IF(E18="Grande",0.4,IF(E18="Esencial",0.9,"-")))))</f>
        <v>-</v>
      </c>
      <c r="G18" s="89" t="str">
        <f>IF(E18="No aumenta",0,IF(E18="Pequeña",0.1,IF(E18="Moderada",0.4,IF(E18="Grande",0.9,IF(E18="Esencial",1,"-")))))</f>
        <v>-</v>
      </c>
      <c r="H18" s="89" t="str">
        <f>IF(F18="-","-",AVERAGE(F18:G18))</f>
        <v>-</v>
      </c>
      <c r="I18" s="90">
        <v>247</v>
      </c>
      <c r="J18" s="91">
        <v>8360</v>
      </c>
      <c r="K18" s="92">
        <f>IF(J18="-",0,I18*J18)</f>
        <v>2064920</v>
      </c>
      <c r="L18" s="93" t="str">
        <f>IF(H18="-","-",K18*H18)</f>
        <v>-</v>
      </c>
      <c r="M18" s="94" t="str">
        <f>IF($H18="-","-",(($K18/(-0.8+1)*((1/(1-$H18))^(-0.8+1)-1))))</f>
        <v>-</v>
      </c>
      <c r="N18" s="94" t="str">
        <f>IF($H18="-","-",(($K18/(-1.2+1)*((1/(1-$H18))^(-1.2+1)-1))))</f>
        <v>-</v>
      </c>
      <c r="O18" s="57"/>
      <c r="P18" s="152" t="s">
        <v>80</v>
      </c>
      <c r="Q18" s="152"/>
      <c r="R18" s="241">
        <f>SUM(R9:R16)</f>
        <v>2486955050.7999997</v>
      </c>
      <c r="S18" s="242">
        <f>SUM(S9:S16)</f>
        <v>60893350.55500001</v>
      </c>
      <c r="T18" s="155">
        <f>IF(R18=0,"-",S18/R18)</f>
        <v>0.024485102991874313</v>
      </c>
      <c r="U18" s="243">
        <f>SUM(U9:U16)</f>
        <v>91618078.1168086</v>
      </c>
      <c r="V18" s="243">
        <f>SUM(V9:V16)</f>
        <v>77502052.26180883</v>
      </c>
    </row>
    <row r="19" spans="1:15" ht="42.75">
      <c r="A19" s="85" t="s">
        <v>84</v>
      </c>
      <c r="B19" s="85" t="s">
        <v>85</v>
      </c>
      <c r="C19" s="86" t="s">
        <v>86</v>
      </c>
      <c r="D19" s="87" t="s">
        <v>48</v>
      </c>
      <c r="E19" s="88" t="s">
        <v>49</v>
      </c>
      <c r="F19" s="89" t="str">
        <f>IF(E19="No aumenta",0,IF(E19="Pequeña",0,IF(E19="Moderada",0.1,IF(E19="Grande",0.4,IF(E19="Esencial",0.9,"-")))))</f>
        <v>-</v>
      </c>
      <c r="G19" s="89" t="str">
        <f>IF(E19="No aumenta",0,IF(E19="Pequeña",0.1,IF(E19="Moderada",0.4,IF(E19="Grande",0.9,IF(E19="Esencial",1,"-")))))</f>
        <v>-</v>
      </c>
      <c r="H19" s="89" t="str">
        <f>IF(F19="-","-",AVERAGE(F19:G19))</f>
        <v>-</v>
      </c>
      <c r="I19" s="90">
        <v>283.4</v>
      </c>
      <c r="J19" s="91">
        <v>159022</v>
      </c>
      <c r="K19" s="92">
        <f>IF(J19="-",0,I19*J19)</f>
        <v>45066834.8</v>
      </c>
      <c r="L19" s="93" t="str">
        <f>IF(H19="-","-",K19*H19)</f>
        <v>-</v>
      </c>
      <c r="M19" s="94" t="str">
        <f>IF($H19="-","-",(($K19/(-0.8+1)*((1/(1-$H19))^(-0.8+1)-1))))</f>
        <v>-</v>
      </c>
      <c r="N19" s="94" t="str">
        <f>IF($H19="-","-",(($K19/(-1.2+1)*((1/(1-$H19))^(-1.2+1)-1))))</f>
        <v>-</v>
      </c>
      <c r="O19" s="57"/>
    </row>
    <row r="20" spans="1:15" ht="42.75">
      <c r="A20" s="85" t="s">
        <v>87</v>
      </c>
      <c r="B20" s="85" t="s">
        <v>88</v>
      </c>
      <c r="C20" s="86" t="s">
        <v>83</v>
      </c>
      <c r="D20" s="87" t="s">
        <v>48</v>
      </c>
      <c r="E20" s="88" t="s">
        <v>49</v>
      </c>
      <c r="F20" s="89" t="str">
        <f>IF(E20="No aumenta",0,IF(E20="Pequeña",0,IF(E20="Moderada",0.1,IF(E20="Grande",0.4,IF(E20="Esencial",0.9,"-")))))</f>
        <v>-</v>
      </c>
      <c r="G20" s="89" t="str">
        <f>IF(E20="No aumenta",0,IF(E20="Pequeña",0.1,IF(E20="Moderada",0.4,IF(E20="Grande",0.9,IF(E20="Esencial",1,"-")))))</f>
        <v>-</v>
      </c>
      <c r="H20" s="89" t="str">
        <f>IF(F20="-","-",AVERAGE(F20:G20))</f>
        <v>-</v>
      </c>
      <c r="I20" s="90">
        <v>325.3</v>
      </c>
      <c r="J20" s="91">
        <f>4073+795</f>
        <v>4868</v>
      </c>
      <c r="K20" s="92">
        <f>IF(J20="-",0,I20*J20)</f>
        <v>1583560.4000000001</v>
      </c>
      <c r="L20" s="93" t="str">
        <f>IF(H20="-","-",K20*H20)</f>
        <v>-</v>
      </c>
      <c r="M20" s="94" t="str">
        <f>IF($H20="-","-",(($K20/(-0.8+1)*((1/(1-$H20))^(-0.8+1)-1))))</f>
        <v>-</v>
      </c>
      <c r="N20" s="94" t="str">
        <f>IF($H20="-","-",(($K20/(-1.2+1)*((1/(1-$H20))^(-1.2+1)-1))))</f>
        <v>-</v>
      </c>
      <c r="O20" s="57"/>
    </row>
    <row r="21" spans="1:15" ht="29.25">
      <c r="A21" s="64" t="s">
        <v>246</v>
      </c>
      <c r="B21" s="64" t="s">
        <v>90</v>
      </c>
      <c r="C21" s="65" t="s">
        <v>91</v>
      </c>
      <c r="D21" s="66" t="s">
        <v>40</v>
      </c>
      <c r="E21" s="67" t="s">
        <v>35</v>
      </c>
      <c r="F21" s="68">
        <f>IF(E21="No aumenta",0,IF(E21="Pequeña",0,IF(E21="Moderada",0.1,IF(E21="Grande",0.4,IF(E21="Esencial",0.9,"-")))))</f>
        <v>0.4</v>
      </c>
      <c r="G21" s="68">
        <f>IF(E21="No aumenta",0,IF(E21="Pequeña",0.1,IF(E21="Moderada",0.4,IF(E21="Grande",0.9,IF(E21="Esencial",1,"-")))))</f>
        <v>0.9</v>
      </c>
      <c r="H21" s="68">
        <f>IF(F21="-","-",AVERAGE(F21:G21))</f>
        <v>0.65</v>
      </c>
      <c r="I21" s="69">
        <v>1344.2</v>
      </c>
      <c r="J21" s="70">
        <v>6305</v>
      </c>
      <c r="K21" s="71">
        <f>IF(J21="-",0,I21*J21)</f>
        <v>8475181</v>
      </c>
      <c r="L21" s="72">
        <f>IF(H21="-","-",K21*H21)</f>
        <v>5508867.65</v>
      </c>
      <c r="M21" s="73">
        <f>IF($H21="-","-",(($K21/(-0.8+1)*((1/(1-$H21))^(-0.8+1)-1))))</f>
        <v>9900459.499322174</v>
      </c>
      <c r="N21" s="73">
        <f>IF($H21="-","-",(($K21/(-1.2+1)*((1/(1-$H21))^(-1.2+1)-1))))</f>
        <v>8025441.998841825</v>
      </c>
      <c r="O21" s="57"/>
    </row>
    <row r="22" spans="1:15" ht="16.5">
      <c r="A22" s="47" t="s">
        <v>92</v>
      </c>
      <c r="B22" s="47" t="s">
        <v>93</v>
      </c>
      <c r="C22" s="48" t="s">
        <v>94</v>
      </c>
      <c r="D22" s="49" t="s">
        <v>34</v>
      </c>
      <c r="E22" s="50" t="s">
        <v>79</v>
      </c>
      <c r="F22" s="51">
        <f>IF(E22="No aumenta",0,IF(E22="Pequeña",0,IF(E22="Moderada",0.1,IF(E22="Grande",0.4,IF(E22="Esencial",0.9,"-")))))</f>
        <v>0.1</v>
      </c>
      <c r="G22" s="51">
        <f>IF(E22="No aumenta",0,IF(E22="Pequeña",0.1,IF(E22="Moderada",0.4,IF(E22="Grande",0.9,IF(E22="Esencial",1,"-")))))</f>
        <v>0.4</v>
      </c>
      <c r="H22" s="51">
        <f>IF(F22="-","-",AVERAGE(F22:G22))</f>
        <v>0.25</v>
      </c>
      <c r="I22" s="157">
        <v>1532.8</v>
      </c>
      <c r="J22" s="158">
        <v>7375</v>
      </c>
      <c r="K22" s="54">
        <f>IF(J22="-",0,I22*J22)</f>
        <v>11304400</v>
      </c>
      <c r="L22" s="55">
        <f>IF(H22="-","-",K22*H22)</f>
        <v>2826100</v>
      </c>
      <c r="M22" s="56">
        <f>IF($H22="-","-",(($K22/(-0.8+1)*((1/(1-$H22))^(-0.8+1)-1))))</f>
        <v>3347449.9437609627</v>
      </c>
      <c r="N22" s="56">
        <f>IF($H22="-","-",(($K22/(-1.2+1)*((1/(1-$H22))^(-1.2+1)-1))))</f>
        <v>3160285.686589551</v>
      </c>
      <c r="O22" s="57"/>
    </row>
    <row r="23" spans="1:15" ht="16.5">
      <c r="A23" s="134" t="s">
        <v>95</v>
      </c>
      <c r="B23" s="134" t="s">
        <v>96</v>
      </c>
      <c r="C23" s="135" t="s">
        <v>97</v>
      </c>
      <c r="D23" s="95" t="s">
        <v>50</v>
      </c>
      <c r="E23" s="136" t="s">
        <v>68</v>
      </c>
      <c r="F23" s="137">
        <v>0</v>
      </c>
      <c r="G23" s="137">
        <v>0</v>
      </c>
      <c r="H23" s="137">
        <v>0</v>
      </c>
      <c r="I23" s="138">
        <v>652.7</v>
      </c>
      <c r="J23" s="139">
        <v>6417</v>
      </c>
      <c r="K23" s="140">
        <f>IF(J23="-",0,I23*J23)</f>
        <v>4188375.9000000004</v>
      </c>
      <c r="L23" s="141">
        <f>IF(H23="-","-",K23*H23)</f>
        <v>0</v>
      </c>
      <c r="M23" s="142">
        <f>IF($H23="-","-",(($K23/(-0.8+1)*((1/(1-$H23))^(-0.8+1)-1))))</f>
        <v>0</v>
      </c>
      <c r="N23" s="142">
        <f>IF($H23="-","-",(($K23/(-1.2+1)*((1/(1-$H23))^(-1.2+1)-1))))</f>
        <v>0</v>
      </c>
      <c r="O23" s="57"/>
    </row>
    <row r="24" spans="1:15" ht="29.25">
      <c r="A24" s="85" t="s">
        <v>101</v>
      </c>
      <c r="B24" s="85" t="s">
        <v>102</v>
      </c>
      <c r="C24" s="86" t="s">
        <v>100</v>
      </c>
      <c r="D24" s="87" t="s">
        <v>48</v>
      </c>
      <c r="E24" s="88" t="s">
        <v>72</v>
      </c>
      <c r="F24" s="89">
        <v>0</v>
      </c>
      <c r="G24" s="89">
        <v>0.1</v>
      </c>
      <c r="H24" s="89">
        <v>0.05</v>
      </c>
      <c r="I24" s="90">
        <v>708.5</v>
      </c>
      <c r="J24" s="91">
        <f>6162+90</f>
        <v>6252</v>
      </c>
      <c r="K24" s="92">
        <f>IF(J24="-",0,I24*J24)</f>
        <v>4429542</v>
      </c>
      <c r="L24" s="93">
        <f>IF(H24="-","-",K24*H24)</f>
        <v>221477.1</v>
      </c>
      <c r="M24" s="94">
        <f>IF($H24="-","-",(($K24/(-0.8+1)*((1/(1-$H24))^(-0.8+1)-1))))</f>
        <v>228375.21065044633</v>
      </c>
      <c r="N24" s="94">
        <f>IF($H24="-","-",(($K24/(-1.2+1)*((1/(1-$H24))^(-1.2+1)-1))))</f>
        <v>226044.36339326785</v>
      </c>
      <c r="O24" s="57"/>
    </row>
    <row r="25" spans="1:15" ht="29.25">
      <c r="A25" s="85" t="s">
        <v>103</v>
      </c>
      <c r="B25" s="85" t="s">
        <v>104</v>
      </c>
      <c r="C25" s="86" t="s">
        <v>105</v>
      </c>
      <c r="D25" s="87" t="s">
        <v>48</v>
      </c>
      <c r="E25" s="88" t="s">
        <v>35</v>
      </c>
      <c r="F25" s="89">
        <v>0.4</v>
      </c>
      <c r="G25" s="89">
        <v>0.9</v>
      </c>
      <c r="H25" s="89">
        <v>0.65</v>
      </c>
      <c r="I25" s="90">
        <v>371.5</v>
      </c>
      <c r="J25" s="91">
        <f>787+15</f>
        <v>802</v>
      </c>
      <c r="K25" s="92">
        <f>IF(J25="-",0,I25*J25)</f>
        <v>297943</v>
      </c>
      <c r="L25" s="93">
        <f>IF(H25="-","-",K25*H25)</f>
        <v>193662.95</v>
      </c>
      <c r="M25" s="94">
        <f>IF($H25="-","-",(($K25/(-0.8+1)*((1/(1-$H25))^(-0.8+1)-1))))</f>
        <v>348048.3313107468</v>
      </c>
      <c r="N25" s="94">
        <f>IF($H25="-","-",(($K25/(-1.2+1)*((1/(1-$H25))^(-1.2+1)-1))))</f>
        <v>282132.53091124893</v>
      </c>
      <c r="O25" s="57"/>
    </row>
    <row r="26" spans="1:15" ht="29.25">
      <c r="A26" s="85" t="s">
        <v>106</v>
      </c>
      <c r="B26" s="85" t="s">
        <v>107</v>
      </c>
      <c r="C26" s="86" t="s">
        <v>108</v>
      </c>
      <c r="D26" s="87" t="s">
        <v>48</v>
      </c>
      <c r="E26" s="88" t="s">
        <v>79</v>
      </c>
      <c r="F26" s="89">
        <v>0.1</v>
      </c>
      <c r="G26" s="89">
        <v>0.4</v>
      </c>
      <c r="H26" s="89">
        <v>0.25</v>
      </c>
      <c r="I26" s="90">
        <v>524.4</v>
      </c>
      <c r="J26" s="91">
        <v>199</v>
      </c>
      <c r="K26" s="92">
        <f>IF(J26="-",0,I26*J26)</f>
        <v>104355.59999999999</v>
      </c>
      <c r="L26" s="93">
        <f>IF(H26="-","-",K26*H26)</f>
        <v>26088.899999999998</v>
      </c>
      <c r="M26" s="94">
        <f>IF($H26="-","-",(($K26/(-0.8+1)*((1/(1-$H26))^(-0.8+1)-1))))</f>
        <v>30901.697334767123</v>
      </c>
      <c r="N26" s="94">
        <f>IF($H26="-","-",(($K26/(-1.2+1)*((1/(1-$H26))^(-1.2+1)-1))))</f>
        <v>29173.90653156864</v>
      </c>
      <c r="O26" s="57"/>
    </row>
    <row r="27" spans="1:15" ht="16.5">
      <c r="A27" s="64" t="s">
        <v>109</v>
      </c>
      <c r="B27" s="64" t="s">
        <v>110</v>
      </c>
      <c r="C27" s="65" t="s">
        <v>111</v>
      </c>
      <c r="D27" s="66" t="s">
        <v>40</v>
      </c>
      <c r="E27" s="67" t="s">
        <v>79</v>
      </c>
      <c r="F27" s="68">
        <f>IF(E27="No aumenta",0,IF(E27="Pequeña",0,IF(E27="Moderada",0.1,IF(E27="Grande",0.4,IF(E27="Esencial",0.9,"-")))))</f>
        <v>0.1</v>
      </c>
      <c r="G27" s="68">
        <f>IF(E27="No aumenta",0,IF(E27="Pequeña",0.1,IF(E27="Moderada",0.4,IF(E27="Grande",0.9,IF(E27="Esencial",1,"-")))))</f>
        <v>0.4</v>
      </c>
      <c r="H27" s="68">
        <f>IF(F27="-","-",AVERAGE(F27:G27))</f>
        <v>0.25</v>
      </c>
      <c r="I27" s="69">
        <v>1167.4</v>
      </c>
      <c r="J27" s="70">
        <v>3136</v>
      </c>
      <c r="K27" s="71">
        <f>IF(J27="-",0,I27*J27)</f>
        <v>3660966.4000000004</v>
      </c>
      <c r="L27" s="72">
        <f>IF(H27="-","-",K27*H27)</f>
        <v>915241.6000000001</v>
      </c>
      <c r="M27" s="73">
        <f>IF($H27="-","-",(($K27/(-0.8+1)*((1/(1-$H27))^(-0.8+1)-1))))</f>
        <v>1084082.4607932111</v>
      </c>
      <c r="N27" s="73">
        <f>IF($H27="-","-",(($K27/(-1.2+1)*((1/(1-$H27))^(-1.2+1)-1))))</f>
        <v>1023468.7124487172</v>
      </c>
      <c r="O27" s="57"/>
    </row>
    <row r="28" spans="1:15" ht="42.75">
      <c r="A28" s="85" t="s">
        <v>112</v>
      </c>
      <c r="B28" s="85" t="s">
        <v>113</v>
      </c>
      <c r="C28" s="86" t="s">
        <v>114</v>
      </c>
      <c r="D28" s="87" t="s">
        <v>48</v>
      </c>
      <c r="E28" s="88" t="s">
        <v>62</v>
      </c>
      <c r="F28" s="89" t="s">
        <v>63</v>
      </c>
      <c r="G28" s="89" t="s">
        <v>63</v>
      </c>
      <c r="H28" s="89" t="s">
        <v>63</v>
      </c>
      <c r="I28" s="90">
        <v>1879.1</v>
      </c>
      <c r="J28" s="91">
        <v>13715</v>
      </c>
      <c r="K28" s="92">
        <f>IF(J28="-",0,I28*J28)</f>
        <v>25771856.5</v>
      </c>
      <c r="L28" s="93" t="str">
        <f>IF(H28="-","-",K28*H28)</f>
        <v>-</v>
      </c>
      <c r="M28" s="94" t="str">
        <f>IF($H28="-","-",(($K28/(-0.8+1)*((1/(1-$H28))^(-0.8+1)-1))))</f>
        <v>-</v>
      </c>
      <c r="N28" s="94" t="str">
        <f>IF($H28="-","-",(($K28/(-1.2+1)*((1/(1-$H28))^(-1.2+1)-1))))</f>
        <v>-</v>
      </c>
      <c r="O28" s="57"/>
    </row>
    <row r="29" spans="1:15" ht="16.5">
      <c r="A29" s="64" t="s">
        <v>118</v>
      </c>
      <c r="B29" s="64" t="s">
        <v>119</v>
      </c>
      <c r="C29" s="65" t="s">
        <v>120</v>
      </c>
      <c r="D29" s="66" t="s">
        <v>40</v>
      </c>
      <c r="E29" s="67" t="s">
        <v>68</v>
      </c>
      <c r="F29" s="68">
        <f>IF(E29="No aumenta",0,IF(E29="Pequeña",0,IF(E29="Moderada",0.1,IF(E29="Grande",0.4,IF(E29="Esencial",0.9,"-")))))</f>
        <v>0</v>
      </c>
      <c r="G29" s="68">
        <f>IF(E29="No aumenta",0,IF(E29="Pequeña",0.1,IF(E29="Moderada",0.4,IF(E29="Grande",0.9,IF(E29="Esencial",1,"-")))))</f>
        <v>0</v>
      </c>
      <c r="H29" s="68">
        <f>IF(F29="-","-",AVERAGE(F29:G29))</f>
        <v>0</v>
      </c>
      <c r="I29" s="69">
        <v>601</v>
      </c>
      <c r="J29" s="70">
        <v>254785</v>
      </c>
      <c r="K29" s="71">
        <f>IF(J29="-",0,I29*J29)</f>
        <v>153125785</v>
      </c>
      <c r="L29" s="72">
        <f>IF(H29="-","-",K29*H29)</f>
        <v>0</v>
      </c>
      <c r="M29" s="73">
        <f>IF($H29="-","-",(($K29/(-0.8+1)*((1/(1-$H29))^(-0.8+1)-1))))</f>
        <v>0</v>
      </c>
      <c r="N29" s="73">
        <f>IF($H29="-","-",(($K29/(-1.2+1)*((1/(1-$H29))^(-1.2+1)-1))))</f>
        <v>0</v>
      </c>
      <c r="O29" s="57"/>
    </row>
    <row r="30" spans="1:15" ht="29.25">
      <c r="A30" s="47" t="s">
        <v>121</v>
      </c>
      <c r="B30" s="47" t="s">
        <v>122</v>
      </c>
      <c r="C30" s="48" t="s">
        <v>123</v>
      </c>
      <c r="D30" s="49" t="s">
        <v>34</v>
      </c>
      <c r="E30" s="50" t="s">
        <v>68</v>
      </c>
      <c r="F30" s="51">
        <f>IF(E30="No aumenta",0,IF(E30="Pequeña",0,IF(E30="Moderada",0.1,IF(E30="Grande",0.4,IF(E30="Esencial",0.9,"-")))))</f>
        <v>0</v>
      </c>
      <c r="G30" s="51">
        <f>IF(E30="No aumenta",0,IF(E30="Pequeña",0.1,IF(E30="Moderada",0.4,IF(E30="Grande",0.9,IF(E30="Esencial",1,"-")))))</f>
        <v>0</v>
      </c>
      <c r="H30" s="51">
        <f>IF(F30="-","-",AVERAGE(F30:G30))</f>
        <v>0</v>
      </c>
      <c r="I30" s="157">
        <v>1668.3</v>
      </c>
      <c r="J30" s="158">
        <v>10</v>
      </c>
      <c r="K30" s="54">
        <f>IF(J30="-",0,I30*J30)</f>
        <v>16683</v>
      </c>
      <c r="L30" s="55">
        <f>IF(H30="-","-",K30*H30)</f>
        <v>0</v>
      </c>
      <c r="M30" s="56">
        <f>IF($H30="-","-",(($K30/(-0.8+1)*((1/(1-$H30))^(-0.8+1)-1))))</f>
        <v>0</v>
      </c>
      <c r="N30" s="56">
        <f>IF($H30="-","-",(($K30/(-1.2+1)*((1/(1-$H30))^(-1.2+1)-1))))</f>
        <v>0</v>
      </c>
      <c r="O30" s="57"/>
    </row>
    <row r="31" spans="1:15" ht="16.5">
      <c r="A31" s="119" t="s">
        <v>124</v>
      </c>
      <c r="B31" s="119" t="s">
        <v>125</v>
      </c>
      <c r="C31" s="169" t="s">
        <v>126</v>
      </c>
      <c r="D31" s="58" t="s">
        <v>36</v>
      </c>
      <c r="E31" s="170" t="s">
        <v>68</v>
      </c>
      <c r="F31" s="170">
        <f>IF(E31="No aumenta",0,IF(E31="Pequeña",0,IF(E31="Moderada",0.1,IF(E31="Grande",0.4,IF(E31="Esencial",0.9,"-")))))</f>
        <v>0</v>
      </c>
      <c r="G31" s="170">
        <f>IF(E31="No aumenta",0,IF(E31="Pequeña",0.1,IF(E31="Moderada",0.4,IF(E31="Grande",0.9,IF(E31="Esencial",1,"-")))))</f>
        <v>0</v>
      </c>
      <c r="H31" s="170">
        <f>IF(F31="-","-",AVERAGE(F31:G31))</f>
        <v>0</v>
      </c>
      <c r="I31" s="124">
        <v>3740</v>
      </c>
      <c r="J31" s="125">
        <v>945</v>
      </c>
      <c r="K31" s="126">
        <f>IF(J31="-",0,I31*J31)</f>
        <v>3534300</v>
      </c>
      <c r="L31" s="127">
        <f>IF(H31="-","-",K31*H31)</f>
        <v>0</v>
      </c>
      <c r="M31" s="128">
        <f>IF($H31="-","-",(($K31/(-0.8+1)*((1/(1-$H31))^(-0.8+1)-1))))</f>
        <v>0</v>
      </c>
      <c r="N31" s="128">
        <f>IF($H31="-","-",(($K31/(-1.2+1)*((1/(1-$H31))^(-1.2+1)-1))))</f>
        <v>0</v>
      </c>
      <c r="O31" s="57"/>
    </row>
    <row r="32" spans="1:15" ht="16.5">
      <c r="A32" s="134" t="s">
        <v>134</v>
      </c>
      <c r="B32" s="134" t="s">
        <v>135</v>
      </c>
      <c r="C32" s="135" t="s">
        <v>136</v>
      </c>
      <c r="D32" s="95" t="s">
        <v>50</v>
      </c>
      <c r="E32" s="136" t="s">
        <v>68</v>
      </c>
      <c r="F32" s="137">
        <v>0</v>
      </c>
      <c r="G32" s="137">
        <v>0</v>
      </c>
      <c r="H32" s="137">
        <v>0</v>
      </c>
      <c r="I32" s="138">
        <v>761.9</v>
      </c>
      <c r="J32" s="139">
        <v>7091</v>
      </c>
      <c r="K32" s="140">
        <f>IF(J32="-",0,I32*J32)</f>
        <v>5402632.899999999</v>
      </c>
      <c r="L32" s="141">
        <f>IF(H32="-","-",K32*H32)</f>
        <v>0</v>
      </c>
      <c r="M32" s="142">
        <f>IF($H32="-","-",(($K32/(-0.8+1)*((1/(1-$H32))^(-0.8+1)-1))))</f>
        <v>0</v>
      </c>
      <c r="N32" s="142">
        <f>IF($H32="-","-",(($K32/(-1.2+1)*((1/(1-$H32))^(-1.2+1)-1))))</f>
        <v>0</v>
      </c>
      <c r="O32" s="57"/>
    </row>
    <row r="33" spans="1:15" ht="42.75">
      <c r="A33" s="85" t="s">
        <v>137</v>
      </c>
      <c r="B33" s="85" t="s">
        <v>138</v>
      </c>
      <c r="C33" s="86" t="s">
        <v>139</v>
      </c>
      <c r="D33" s="87" t="s">
        <v>48</v>
      </c>
      <c r="E33" s="88" t="s">
        <v>49</v>
      </c>
      <c r="F33" s="89" t="str">
        <f>IF(E33="No aumenta",0,IF(E33="Pequeña",0,IF(E33="Moderada",0.1,IF(E33="Grande",0.4,IF(E33="Esencial",0.9,"-")))))</f>
        <v>-</v>
      </c>
      <c r="G33" s="89" t="str">
        <f>IF(E33="No aumenta",0,IF(E33="Pequeña",0.1,IF(E33="Moderada",0.4,IF(E33="Grande",0.9,IF(E33="Esencial",1,"-")))))</f>
        <v>-</v>
      </c>
      <c r="H33" s="89" t="str">
        <f>IF(F33="-","-",AVERAGE(F33:G33))</f>
        <v>-</v>
      </c>
      <c r="I33" s="90">
        <v>300</v>
      </c>
      <c r="J33" s="91">
        <v>23255</v>
      </c>
      <c r="K33" s="92">
        <f>IF(J33="-",0,I33*J33)</f>
        <v>6976500</v>
      </c>
      <c r="L33" s="93" t="str">
        <f>IF(H33="-","-",K33*H33)</f>
        <v>-</v>
      </c>
      <c r="M33" s="94" t="str">
        <f>IF($H33="-","-",(($K33/(-0.8+1)*((1/(1-$H33))^(-0.8+1)-1))))</f>
        <v>-</v>
      </c>
      <c r="N33" s="94" t="str">
        <f>IF($H33="-","-",(($K33/(-1.2+1)*((1/(1-$H33))^(-1.2+1)-1))))</f>
        <v>-</v>
      </c>
      <c r="O33" s="57"/>
    </row>
    <row r="34" spans="1:15" ht="16.5">
      <c r="A34" s="134" t="s">
        <v>140</v>
      </c>
      <c r="B34" s="134" t="s">
        <v>141</v>
      </c>
      <c r="C34" s="172" t="s">
        <v>142</v>
      </c>
      <c r="D34" s="173" t="s">
        <v>50</v>
      </c>
      <c r="E34" s="137" t="s">
        <v>68</v>
      </c>
      <c r="F34" s="137">
        <v>0</v>
      </c>
      <c r="G34" s="137">
        <v>0</v>
      </c>
      <c r="H34" s="137">
        <v>0</v>
      </c>
      <c r="I34" s="138">
        <v>238.5</v>
      </c>
      <c r="J34" s="139">
        <v>2613</v>
      </c>
      <c r="K34" s="140">
        <f>IF(J34="-",0,I34*J34)</f>
        <v>623200.5</v>
      </c>
      <c r="L34" s="141">
        <f>IF(H34="-","-",K34*H34)</f>
        <v>0</v>
      </c>
      <c r="M34" s="142">
        <f>IF($H34="-","-",(($K34/(-0.8+1)*((1/(1-$H34))^(-0.8+1)-1))))</f>
        <v>0</v>
      </c>
      <c r="N34" s="142">
        <f>IF($H34="-","-",(($K34/(-1.2+1)*((1/(1-$H34))^(-1.2+1)-1))))</f>
        <v>0</v>
      </c>
      <c r="O34" s="57"/>
    </row>
    <row r="35" spans="1:15" ht="16.5">
      <c r="A35" s="119" t="s">
        <v>143</v>
      </c>
      <c r="B35" s="119" t="s">
        <v>144</v>
      </c>
      <c r="C35" s="120" t="s">
        <v>145</v>
      </c>
      <c r="D35" s="121" t="s">
        <v>36</v>
      </c>
      <c r="E35" s="122" t="s">
        <v>68</v>
      </c>
      <c r="F35" s="123">
        <v>0</v>
      </c>
      <c r="G35" s="123">
        <v>0</v>
      </c>
      <c r="H35" s="123">
        <v>0</v>
      </c>
      <c r="I35" s="124">
        <v>216.9</v>
      </c>
      <c r="J35" s="125">
        <v>1122502</v>
      </c>
      <c r="K35" s="126">
        <f>IF(J35="-",0,I35*J35)</f>
        <v>243470683.8</v>
      </c>
      <c r="L35" s="127">
        <f>IF(H35="-","-",K35*H35)</f>
        <v>0</v>
      </c>
      <c r="M35" s="128">
        <f>IF($H35="-","-",(($K35/(-0.8+1)*((1/(1-$H35))^(-0.8+1)-1))))</f>
        <v>0</v>
      </c>
      <c r="N35" s="128">
        <f>IF($H35="-","-",(($K35/(-1.2+1)*((1/(1-$H35))^(-1.2+1)-1))))</f>
        <v>0</v>
      </c>
      <c r="O35" s="57"/>
    </row>
    <row r="36" spans="1:15" ht="29.25">
      <c r="A36" s="85" t="s">
        <v>146</v>
      </c>
      <c r="B36" s="85" t="s">
        <v>147</v>
      </c>
      <c r="C36" s="86" t="s">
        <v>148</v>
      </c>
      <c r="D36" s="87" t="s">
        <v>48</v>
      </c>
      <c r="E36" s="88" t="s">
        <v>68</v>
      </c>
      <c r="F36" s="89">
        <f>IF(E36="No aumenta",0,IF(E36="Pequeña",0,IF(E36="Moderada",0.1,IF(E36="Grande",0.4,IF(E36="Esencial",0.9,"-")))))</f>
        <v>0</v>
      </c>
      <c r="G36" s="89">
        <f>IF(E36="No aumenta",0,IF(E36="Pequeña",0.1,IF(E36="Moderada",0.4,IF(E36="Grande",0.9,IF(E36="Esencial",1,"-")))))</f>
        <v>0</v>
      </c>
      <c r="H36" s="89">
        <f>IF(F36="-","-",AVERAGE(F36:G36))</f>
        <v>0</v>
      </c>
      <c r="I36" s="90">
        <v>1034.6</v>
      </c>
      <c r="J36" s="91">
        <v>120</v>
      </c>
      <c r="K36" s="92">
        <f>IF(J36="-",0,I36*J36)</f>
        <v>124151.99999999999</v>
      </c>
      <c r="L36" s="93">
        <f>IF(H36="-","-",K36*H36)</f>
        <v>0</v>
      </c>
      <c r="M36" s="94">
        <f>IF($H36="-","-",(($K36/(-0.8+1)*((1/(1-$H36))^(-0.8+1)-1))))</f>
        <v>0</v>
      </c>
      <c r="N36" s="94">
        <f>IF($H36="-","-",(($K36/(-1.2+1)*((1/(1-$H36))^(-1.2+1)-1))))</f>
        <v>0</v>
      </c>
      <c r="O36" s="57"/>
    </row>
    <row r="37" spans="1:15" ht="16.5">
      <c r="A37" s="119" t="s">
        <v>149</v>
      </c>
      <c r="B37" s="119" t="s">
        <v>150</v>
      </c>
      <c r="C37" s="120" t="s">
        <v>151</v>
      </c>
      <c r="D37" s="121" t="s">
        <v>36</v>
      </c>
      <c r="E37" s="122" t="s">
        <v>68</v>
      </c>
      <c r="F37" s="123">
        <v>0</v>
      </c>
      <c r="G37" s="123">
        <v>0</v>
      </c>
      <c r="H37" s="123">
        <v>0</v>
      </c>
      <c r="I37" s="124">
        <v>181.5</v>
      </c>
      <c r="J37" s="125">
        <v>287602</v>
      </c>
      <c r="K37" s="126">
        <f>IF(J37="-",0,I37*J37)</f>
        <v>52199763</v>
      </c>
      <c r="L37" s="127">
        <f>IF(H37="-","-",K37*H37)</f>
        <v>0</v>
      </c>
      <c r="M37" s="128">
        <f>IF($H37="-","-",(($K37/(-0.8+1)*((1/(1-$H37))^(-0.8+1)-1))))</f>
        <v>0</v>
      </c>
      <c r="N37" s="128">
        <f>IF($H37="-","-",(($K37/(-1.2+1)*((1/(1-$H37))^(-1.2+1)-1))))</f>
        <v>0</v>
      </c>
      <c r="O37" s="57"/>
    </row>
    <row r="38" spans="1:15" ht="16.5">
      <c r="A38" s="174" t="s">
        <v>152</v>
      </c>
      <c r="B38" s="174" t="s">
        <v>153</v>
      </c>
      <c r="C38" s="175" t="s">
        <v>154</v>
      </c>
      <c r="D38" s="79" t="s">
        <v>44</v>
      </c>
      <c r="E38" s="176" t="s">
        <v>68</v>
      </c>
      <c r="F38" s="177">
        <f>IF(E38="No aumenta",0,IF(E38="Pequeña",0,IF(E38="Moderada",0.1,IF(E38="Grande",0.4,IF(E38="Esencial",0.9,"-")))))</f>
        <v>0</v>
      </c>
      <c r="G38" s="177">
        <f>IF(E38="No aumenta",0,IF(E38="Pequeña",0.1,IF(E38="Moderada",0.4,IF(E38="Grande",0.9,IF(E38="Esencial",1,"-")))))</f>
        <v>0</v>
      </c>
      <c r="H38" s="177">
        <f>IF(F38="-","-",AVERAGE(F38:G38))</f>
        <v>0</v>
      </c>
      <c r="I38" s="178">
        <v>396.6</v>
      </c>
      <c r="J38" s="179">
        <f>550+9055</f>
        <v>9605</v>
      </c>
      <c r="K38" s="180">
        <f>IF(J38="-",0,I38*J38)</f>
        <v>3809343</v>
      </c>
      <c r="L38" s="181">
        <f>IF(H38="-","-",K38*H38)</f>
        <v>0</v>
      </c>
      <c r="M38" s="182">
        <f>IF($H38="-","-",(($K38/(-0.8+1)*((1/(1-$H38))^(-0.8+1)-1))))</f>
        <v>0</v>
      </c>
      <c r="N38" s="182">
        <f>IF($H38="-","-",(($K38/(-1.2+1)*((1/(1-$H38))^(-1.2+1)-1))))</f>
        <v>0</v>
      </c>
      <c r="O38" s="57"/>
    </row>
    <row r="39" spans="1:15" ht="42.75">
      <c r="A39" s="85" t="s">
        <v>155</v>
      </c>
      <c r="B39" s="85" t="s">
        <v>156</v>
      </c>
      <c r="C39" s="86" t="s">
        <v>157</v>
      </c>
      <c r="D39" s="87" t="s">
        <v>48</v>
      </c>
      <c r="E39" s="88" t="s">
        <v>49</v>
      </c>
      <c r="F39" s="89" t="s">
        <v>63</v>
      </c>
      <c r="G39" s="89" t="s">
        <v>63</v>
      </c>
      <c r="H39" s="89" t="s">
        <v>63</v>
      </c>
      <c r="I39" s="90">
        <v>677.7</v>
      </c>
      <c r="J39" s="91">
        <v>1626</v>
      </c>
      <c r="K39" s="92">
        <f>IF(J39="-",0,I39*J39)</f>
        <v>1101940.2000000002</v>
      </c>
      <c r="L39" s="93" t="str">
        <f>IF(H39="-","-",K39*H39)</f>
        <v>-</v>
      </c>
      <c r="M39" s="94" t="str">
        <f>IF($H39="-","-",(($K39/(-0.8+1)*((1/(1-$H39))^(-0.8+1)-1))))</f>
        <v>-</v>
      </c>
      <c r="N39" s="94" t="str">
        <f>IF($H39="-","-",(($K39/(-1.2+1)*((1/(1-$H39))^(-1.2+1)-1))))</f>
        <v>-</v>
      </c>
      <c r="O39" s="57"/>
    </row>
    <row r="40" spans="1:15" ht="42.75">
      <c r="A40" s="85" t="s">
        <v>158</v>
      </c>
      <c r="B40" s="85" t="s">
        <v>159</v>
      </c>
      <c r="C40" s="86" t="s">
        <v>157</v>
      </c>
      <c r="D40" s="87" t="s">
        <v>48</v>
      </c>
      <c r="E40" s="88" t="s">
        <v>49</v>
      </c>
      <c r="F40" s="89" t="s">
        <v>63</v>
      </c>
      <c r="G40" s="89" t="s">
        <v>63</v>
      </c>
      <c r="H40" s="89" t="s">
        <v>63</v>
      </c>
      <c r="I40" s="90">
        <v>174.9</v>
      </c>
      <c r="J40" s="91">
        <v>111585</v>
      </c>
      <c r="K40" s="92">
        <f>IF(J40="-",0,I40*J40)</f>
        <v>19516216.5</v>
      </c>
      <c r="L40" s="93" t="str">
        <f>IF(H40="-","-",K40*H40)</f>
        <v>-</v>
      </c>
      <c r="M40" s="94" t="str">
        <f>IF($H40="-","-",(($K40/(-0.8+1)*((1/(1-$H40))^(-0.8+1)-1))))</f>
        <v>-</v>
      </c>
      <c r="N40" s="94" t="str">
        <f>IF($H40="-","-",(($K40/(-1.2+1)*((1/(1-$H40))^(-1.2+1)-1))))</f>
        <v>-</v>
      </c>
      <c r="O40" s="57"/>
    </row>
    <row r="41" spans="1:15" ht="16.5">
      <c r="A41" s="64" t="s">
        <v>160</v>
      </c>
      <c r="B41" s="64" t="s">
        <v>161</v>
      </c>
      <c r="C41" s="65" t="s">
        <v>162</v>
      </c>
      <c r="D41" s="66" t="s">
        <v>40</v>
      </c>
      <c r="E41" s="67" t="s">
        <v>72</v>
      </c>
      <c r="F41" s="68">
        <v>0</v>
      </c>
      <c r="G41" s="68">
        <v>0.1</v>
      </c>
      <c r="H41" s="68">
        <v>0.05</v>
      </c>
      <c r="I41" s="69">
        <v>198.6</v>
      </c>
      <c r="J41" s="70">
        <v>70</v>
      </c>
      <c r="K41" s="71">
        <f>IF(J41="-",0,I41*J41)</f>
        <v>13902</v>
      </c>
      <c r="L41" s="72">
        <f>IF(H41="-","-",K41*H41)</f>
        <v>695.1</v>
      </c>
      <c r="M41" s="73">
        <f>IF($H41="-","-",(($K41/(-0.8+1)*((1/(1-$H41))^(-0.8+1)-1))))</f>
        <v>716.7495371897377</v>
      </c>
      <c r="N41" s="73">
        <f>IF($H41="-","-",(($K41/(-1.2+1)*((1/(1-$H41))^(-1.2+1)-1))))</f>
        <v>709.4342349374291</v>
      </c>
      <c r="O41" s="57"/>
    </row>
    <row r="42" spans="1:15" ht="56.25">
      <c r="A42" s="85" t="s">
        <v>163</v>
      </c>
      <c r="B42" s="85" t="s">
        <v>164</v>
      </c>
      <c r="C42" s="86" t="s">
        <v>165</v>
      </c>
      <c r="D42" s="87" t="s">
        <v>48</v>
      </c>
      <c r="E42" s="88" t="s">
        <v>130</v>
      </c>
      <c r="F42" s="89">
        <f>IF(E42="No aumenta",0,IF(E42="Pequeña",0,IF(E42="Moderada",0.1,IF(E42="Grande",0.4,IF(E42="Esencial",0.9,"-")))))</f>
        <v>0.9</v>
      </c>
      <c r="G42" s="89">
        <f>IF(E42="No aumenta",0,IF(E42="Pequeña",0.1,IF(E42="Moderada",0.4,IF(E42="Grande",0.9,IF(E42="Esencial",1,"-")))))</f>
        <v>1</v>
      </c>
      <c r="H42" s="89">
        <f>IF(F42="-","-",AVERAGE(F42:G42))</f>
        <v>0.95</v>
      </c>
      <c r="I42" s="90">
        <v>259.9</v>
      </c>
      <c r="J42" s="91">
        <v>2135</v>
      </c>
      <c r="K42" s="92">
        <f>IF(J42="-",0,I42*J42)</f>
        <v>554886.5</v>
      </c>
      <c r="L42" s="93">
        <f>IF(H42="-","-",K42*H42)</f>
        <v>527142.1749999999</v>
      </c>
      <c r="M42" s="94">
        <f>IF($H42="-","-",(($K42/(-0.8+1)*((1/(1-$H42))^(-0.8+1)-1))))</f>
        <v>2276599.9932121546</v>
      </c>
      <c r="N42" s="94">
        <f>IF($H42="-","-",(($K42/(-1.2+1)*((1/(1-$H42))^(-1.2+1)-1))))</f>
        <v>1250491.4627169245</v>
      </c>
      <c r="O42" s="57"/>
    </row>
    <row r="43" spans="1:15" ht="42.75">
      <c r="A43" s="64" t="s">
        <v>166</v>
      </c>
      <c r="B43" s="64" t="s">
        <v>167</v>
      </c>
      <c r="C43" s="65" t="s">
        <v>168</v>
      </c>
      <c r="D43" s="66" t="s">
        <v>40</v>
      </c>
      <c r="E43" s="67" t="s">
        <v>35</v>
      </c>
      <c r="F43" s="68">
        <v>0.4</v>
      </c>
      <c r="G43" s="68">
        <v>0.9</v>
      </c>
      <c r="H43" s="68">
        <v>0.65</v>
      </c>
      <c r="I43" s="69">
        <v>532.1</v>
      </c>
      <c r="J43" s="70">
        <f>1166+280</f>
        <v>1446</v>
      </c>
      <c r="K43" s="71">
        <f>IF(J43="-",0,I43*J43)</f>
        <v>769416.6</v>
      </c>
      <c r="L43" s="72">
        <f>IF(H43="-","-",K43*H43)</f>
        <v>500120.79</v>
      </c>
      <c r="M43" s="73">
        <f>IF($H43="-","-",(($K43/(-0.8+1)*((1/(1-$H43))^(-0.8+1)-1))))</f>
        <v>898810.0533081441</v>
      </c>
      <c r="N43" s="73">
        <f>IF($H43="-","-",(($K43/(-1.2+1)*((1/(1-$H43))^(-1.2+1)-1))))</f>
        <v>728587.1884324454</v>
      </c>
      <c r="O43" s="57"/>
    </row>
    <row r="44" spans="1:15" ht="16.5">
      <c r="A44" s="64" t="s">
        <v>169</v>
      </c>
      <c r="B44" s="64" t="s">
        <v>170</v>
      </c>
      <c r="C44" s="65" t="s">
        <v>171</v>
      </c>
      <c r="D44" s="66" t="s">
        <v>40</v>
      </c>
      <c r="E44" s="67" t="s">
        <v>35</v>
      </c>
      <c r="F44" s="68">
        <v>0.4</v>
      </c>
      <c r="G44" s="68">
        <v>0.9</v>
      </c>
      <c r="H44" s="68">
        <v>0.65</v>
      </c>
      <c r="I44" s="69">
        <v>427.4</v>
      </c>
      <c r="J44" s="70">
        <v>14994</v>
      </c>
      <c r="K44" s="71">
        <f>IF(J44="-",0,I44*J44)</f>
        <v>6408435.6</v>
      </c>
      <c r="L44" s="72">
        <f>IF(H44="-","-",K44*H44)</f>
        <v>4165483.14</v>
      </c>
      <c r="M44" s="73">
        <f>IF($H44="-","-",(($K44/(-0.8+1)*((1/(1-$H44))^(-0.8+1)-1))))</f>
        <v>7486147.742663477</v>
      </c>
      <c r="N44" s="73">
        <f>IF($H44="-","-",(($K44/(-1.2+1)*((1/(1-$H44))^(-1.2+1)-1))))</f>
        <v>6068369.302214679</v>
      </c>
      <c r="O44" s="57"/>
    </row>
    <row r="45" spans="1:15" ht="29.25">
      <c r="A45" s="134" t="s">
        <v>172</v>
      </c>
      <c r="B45" s="134" t="s">
        <v>173</v>
      </c>
      <c r="C45" s="135" t="s">
        <v>174</v>
      </c>
      <c r="D45" s="95" t="s">
        <v>50</v>
      </c>
      <c r="E45" s="136" t="s">
        <v>68</v>
      </c>
      <c r="F45" s="137">
        <f>IF(E45="No aumenta",0,IF(E45="Pequeña",0,IF(E45="Moderada",0.1,IF(E45="Grande",0.4,IF(E45="Esencial",0.9,"-")))))</f>
        <v>0</v>
      </c>
      <c r="G45" s="137">
        <f>IF(E45="No aumenta",0,IF(E45="Pequeña",0.1,IF(E45="Moderada",0.4,IF(E45="Grande",0.9,IF(E45="Esencial",1,"-")))))</f>
        <v>0</v>
      </c>
      <c r="H45" s="137">
        <f>IF(F45="-","-",AVERAGE(F45:G45))</f>
        <v>0</v>
      </c>
      <c r="I45" s="138">
        <v>223.6</v>
      </c>
      <c r="J45" s="139">
        <v>82876</v>
      </c>
      <c r="K45" s="140">
        <f>IF(J45="-",0,I45*J45)</f>
        <v>18531073.599999998</v>
      </c>
      <c r="L45" s="141">
        <f>IF(H45="-","-",K45*H45)</f>
        <v>0</v>
      </c>
      <c r="M45" s="142">
        <f>IF($H45="-","-",(($K45/(-0.8+1)*((1/(1-$H45))^(-0.8+1)-1))))</f>
        <v>0</v>
      </c>
      <c r="N45" s="142">
        <f>IF($H45="-","-",(($K45/(-1.2+1)*((1/(1-$H45))^(-1.2+1)-1))))</f>
        <v>0</v>
      </c>
      <c r="O45" s="57"/>
    </row>
    <row r="46" spans="1:15" ht="29.25">
      <c r="A46" s="85" t="s">
        <v>175</v>
      </c>
      <c r="B46" s="85" t="s">
        <v>176</v>
      </c>
      <c r="C46" s="86" t="s">
        <v>174</v>
      </c>
      <c r="D46" s="87" t="s">
        <v>48</v>
      </c>
      <c r="E46" s="88" t="s">
        <v>68</v>
      </c>
      <c r="F46" s="89">
        <f>IF(E46="No aumenta",0,IF(E46="Pequeña",0,IF(E46="Moderada",0.1,IF(E46="Grande",0.4,IF(E46="Esencial",0.9,"-")))))</f>
        <v>0</v>
      </c>
      <c r="G46" s="89">
        <f>IF(E46="No aumenta",0,IF(E46="Pequeña",0.1,IF(E46="Moderada",0.4,IF(E46="Grande",0.9,IF(E46="Esencial",1,"-")))))</f>
        <v>0</v>
      </c>
      <c r="H46" s="89">
        <f>IF(F46="-","-",AVERAGE(F46:G46))</f>
        <v>0</v>
      </c>
      <c r="I46" s="90">
        <v>1847.6</v>
      </c>
      <c r="J46" s="91">
        <v>10877</v>
      </c>
      <c r="K46" s="92">
        <f>IF(J46="-",0,I46*J46)</f>
        <v>20096345.2</v>
      </c>
      <c r="L46" s="93">
        <f>IF(H46="-","-",K46*H46)</f>
        <v>0</v>
      </c>
      <c r="M46" s="94">
        <f>IF($H46="-","-",(($K46/(-0.8+1)*((1/(1-$H46))^(-0.8+1)-1))))</f>
        <v>0</v>
      </c>
      <c r="N46" s="94">
        <f>IF($H46="-","-",(($K46/(-1.2+1)*((1/(1-$H46))^(-1.2+1)-1))))</f>
        <v>0</v>
      </c>
      <c r="O46" s="57"/>
    </row>
    <row r="47" spans="1:15" ht="29.25">
      <c r="A47" s="64" t="s">
        <v>177</v>
      </c>
      <c r="B47" s="64" t="s">
        <v>178</v>
      </c>
      <c r="C47" s="65" t="s">
        <v>179</v>
      </c>
      <c r="D47" s="66" t="s">
        <v>40</v>
      </c>
      <c r="E47" s="67" t="s">
        <v>35</v>
      </c>
      <c r="F47" s="68">
        <v>0.4</v>
      </c>
      <c r="G47" s="68">
        <v>0.9</v>
      </c>
      <c r="H47" s="68">
        <v>0.65</v>
      </c>
      <c r="I47" s="69">
        <v>471.3</v>
      </c>
      <c r="J47" s="70">
        <v>1933</v>
      </c>
      <c r="K47" s="71">
        <f>IF(J47="-",0,I47*J47)</f>
        <v>911022.9</v>
      </c>
      <c r="L47" s="72">
        <f>IF(H47="-","-",K47*H47)</f>
        <v>592164.885</v>
      </c>
      <c r="M47" s="73">
        <f>IF($H47="-","-",(($K47/(-0.8+1)*((1/(1-$H47))^(-0.8+1)-1))))</f>
        <v>1064230.4069264166</v>
      </c>
      <c r="N47" s="73">
        <f>IF($H47="-","-",(($K47/(-1.2+1)*((1/(1-$H47))^(-1.2+1)-1))))</f>
        <v>862679.0912862718</v>
      </c>
      <c r="O47" s="57"/>
    </row>
    <row r="48" spans="1:15" ht="42.75">
      <c r="A48" s="183" t="s">
        <v>180</v>
      </c>
      <c r="B48" s="183" t="s">
        <v>181</v>
      </c>
      <c r="C48" s="184" t="s">
        <v>182</v>
      </c>
      <c r="D48" s="101" t="s">
        <v>54</v>
      </c>
      <c r="E48" s="185" t="s">
        <v>62</v>
      </c>
      <c r="F48" s="186" t="s">
        <v>63</v>
      </c>
      <c r="G48" s="186" t="s">
        <v>63</v>
      </c>
      <c r="H48" s="186" t="s">
        <v>63</v>
      </c>
      <c r="I48" s="187">
        <v>212.7</v>
      </c>
      <c r="J48" s="188">
        <v>1007772</v>
      </c>
      <c r="K48" s="189">
        <f>IF(J48="-",0,I48*J48)</f>
        <v>214353104.39999998</v>
      </c>
      <c r="L48" s="190" t="str">
        <f>IF(H48="-","-",K48*H48)</f>
        <v>-</v>
      </c>
      <c r="M48" s="191" t="str">
        <f>IF($H48="-","-",(($K48/(-0.8+1)*((1/(1-$H48))^(-0.8+1)-1))))</f>
        <v>-</v>
      </c>
      <c r="N48" s="191" t="str">
        <f>IF($H48="-","-",(($K48/(-1.2+1)*((1/(1-$H48))^(-1.2+1)-1))))</f>
        <v>-</v>
      </c>
      <c r="O48" s="57"/>
    </row>
    <row r="49" spans="1:15" ht="42.75">
      <c r="A49" s="85" t="s">
        <v>251</v>
      </c>
      <c r="B49" s="85" t="s">
        <v>184</v>
      </c>
      <c r="C49" s="86" t="s">
        <v>185</v>
      </c>
      <c r="D49" s="87" t="s">
        <v>48</v>
      </c>
      <c r="E49" s="88" t="s">
        <v>130</v>
      </c>
      <c r="F49" s="89">
        <f>IF(E49="No aumenta",0,IF(E49="Pequeña",0,IF(E49="Moderada",0.1,IF(E49="Grande",0.4,IF(E49="Esencial",0.9,"-")))))</f>
        <v>0.9</v>
      </c>
      <c r="G49" s="89">
        <f>IF(E49="No aumenta",0,IF(E49="Pequeña",0.1,IF(E49="Moderada",0.4,IF(E49="Grande",0.9,IF(E49="Esencial",1,"-")))))</f>
        <v>1</v>
      </c>
      <c r="H49" s="89">
        <f>IF(F49="-","-",AVERAGE(F49:G49))</f>
        <v>0.95</v>
      </c>
      <c r="I49" s="90">
        <v>333.5</v>
      </c>
      <c r="J49" s="91">
        <f>3848+1990</f>
        <v>5838</v>
      </c>
      <c r="K49" s="92">
        <f>IF(J49="-",0,I49*J49)</f>
        <v>1946973</v>
      </c>
      <c r="L49" s="93">
        <f>IF(H49="-","-",K49*H49)</f>
        <v>1849624.3499999999</v>
      </c>
      <c r="M49" s="94">
        <f>IF($H49="-","-",(($K49/(-0.8+1)*((1/(1-$H49))^(-0.8+1)-1))))</f>
        <v>7988081.74029148</v>
      </c>
      <c r="N49" s="94">
        <f>IF($H49="-","-",(($K49/(-1.2+1)*((1/(1-$H49))^(-1.2+1)-1))))</f>
        <v>4387695.708294144</v>
      </c>
      <c r="O49" s="57"/>
    </row>
    <row r="50" spans="1:15" ht="16.5">
      <c r="A50" s="64" t="s">
        <v>186</v>
      </c>
      <c r="B50" s="64" t="s">
        <v>187</v>
      </c>
      <c r="C50" s="192" t="s">
        <v>188</v>
      </c>
      <c r="D50" s="66" t="s">
        <v>40</v>
      </c>
      <c r="E50" s="67" t="s">
        <v>35</v>
      </c>
      <c r="F50" s="68">
        <v>0.4</v>
      </c>
      <c r="G50" s="68">
        <v>0.9</v>
      </c>
      <c r="H50" s="68">
        <v>0.65</v>
      </c>
      <c r="I50" s="69">
        <v>316.1</v>
      </c>
      <c r="J50" s="70">
        <v>251</v>
      </c>
      <c r="K50" s="71">
        <f>IF(J50="-",0,I50*J50)</f>
        <v>79341.1</v>
      </c>
      <c r="L50" s="72">
        <f>IF(H50="-","-",K50*H50)</f>
        <v>51571.715000000004</v>
      </c>
      <c r="M50" s="73">
        <f>IF($H50="-","-",(($K50/(-0.8+1)*((1/(1-$H50))^(-0.8+1)-1))))</f>
        <v>92683.96122533201</v>
      </c>
      <c r="N50" s="73">
        <f>IF($H50="-","-",(($K50/(-1.2+1)*((1/(1-$H50))^(-1.2+1)-1))))</f>
        <v>75130.83156268983</v>
      </c>
      <c r="O50" s="57"/>
    </row>
    <row r="51" spans="1:15" ht="16.5">
      <c r="A51" s="174" t="s">
        <v>189</v>
      </c>
      <c r="B51" s="174" t="s">
        <v>190</v>
      </c>
      <c r="C51" s="193" t="s">
        <v>191</v>
      </c>
      <c r="D51" s="79" t="s">
        <v>44</v>
      </c>
      <c r="E51" s="176" t="s">
        <v>79</v>
      </c>
      <c r="F51" s="177">
        <f>IF(E51="No aumenta",0,IF(E51="Pequeña",0,IF(E51="Moderada",0.1,IF(E51="Grande",0.4,IF(E51="Esencial",0.9,"-")))))</f>
        <v>0.1</v>
      </c>
      <c r="G51" s="177">
        <f>IF(E51="No aumenta",0,IF(E51="Pequeña",0.1,IF(E51="Moderada",0.4,IF(E51="Grande",0.9,IF(E51="Esencial",1,"-")))))</f>
        <v>0.4</v>
      </c>
      <c r="H51" s="177">
        <f>IF(F51="-","-",AVERAGE(F51:G51))</f>
        <v>0.25</v>
      </c>
      <c r="I51" s="178">
        <v>283.3</v>
      </c>
      <c r="J51" s="179">
        <v>27833</v>
      </c>
      <c r="K51" s="180">
        <f>IF(J51="-",0,I51*J51)</f>
        <v>7885088.9</v>
      </c>
      <c r="L51" s="181">
        <f>IF(H51="-","-",K51*H51)</f>
        <v>1971272.225</v>
      </c>
      <c r="M51" s="182">
        <f>IF($H51="-","-",(($K51/(-0.8+1)*((1/(1-$H51))^(-0.8+1)-1))))</f>
        <v>2334926.2583467667</v>
      </c>
      <c r="N51" s="182">
        <f>IF($H51="-","-",(($K51/(-1.2+1)*((1/(1-$H51))^(-1.2+1)-1))))</f>
        <v>2204374.7202997194</v>
      </c>
      <c r="O51" s="57"/>
    </row>
    <row r="52" spans="1:15" ht="29.25">
      <c r="A52" s="64" t="s">
        <v>192</v>
      </c>
      <c r="B52" s="64" t="s">
        <v>193</v>
      </c>
      <c r="C52" s="192" t="s">
        <v>194</v>
      </c>
      <c r="D52" s="171" t="s">
        <v>40</v>
      </c>
      <c r="E52" s="68" t="s">
        <v>35</v>
      </c>
      <c r="F52" s="68">
        <v>0.4</v>
      </c>
      <c r="G52" s="68">
        <v>0.9</v>
      </c>
      <c r="H52" s="68">
        <v>0.65</v>
      </c>
      <c r="I52" s="69">
        <v>4404.7</v>
      </c>
      <c r="J52" s="70">
        <v>378</v>
      </c>
      <c r="K52" s="71">
        <f>IF(J52="-",0,I52*J52)</f>
        <v>1664976.5999999999</v>
      </c>
      <c r="L52" s="72">
        <f>IF(H52="-","-",K52*H52)</f>
        <v>1082234.79</v>
      </c>
      <c r="M52" s="73">
        <f>IF($H52="-","-",(($K52/(-0.8+1)*((1/(1-$H52))^(-0.8+1)-1))))</f>
        <v>1944977.1510035165</v>
      </c>
      <c r="N52" s="73">
        <f>IF($H52="-","-",(($K52/(-1.2+1)*((1/(1-$H52))^(-1.2+1)-1))))</f>
        <v>1576623.9249319707</v>
      </c>
      <c r="O52" s="57"/>
    </row>
    <row r="53" spans="1:15" ht="16.5">
      <c r="A53" s="119" t="s">
        <v>198</v>
      </c>
      <c r="B53" s="119" t="s">
        <v>199</v>
      </c>
      <c r="C53" s="120" t="s">
        <v>200</v>
      </c>
      <c r="D53" s="121" t="s">
        <v>36</v>
      </c>
      <c r="E53" s="122" t="s">
        <v>68</v>
      </c>
      <c r="F53" s="123">
        <f>IF(E53="No aumenta",0,IF(E53="Pequeña",0,IF(E53="Moderada",0.1,IF(E53="Grande",0.4,IF(E53="Esencial",0.9,"-")))))</f>
        <v>0</v>
      </c>
      <c r="G53" s="123">
        <f>IF(E53="No aumenta",0,IF(E53="Pequeña",0.1,IF(E53="Moderada",0.4,IF(E53="Grande",0.9,IF(E53="Esencial",1,"-")))))</f>
        <v>0</v>
      </c>
      <c r="H53" s="123">
        <f>IF(F53="-","-",AVERAGE(F53:G53))</f>
        <v>0</v>
      </c>
      <c r="I53" s="124">
        <v>183.6</v>
      </c>
      <c r="J53" s="125">
        <v>269278</v>
      </c>
      <c r="K53" s="126">
        <f>IF(J53="-",0,I53*J53)</f>
        <v>49439440.8</v>
      </c>
      <c r="L53" s="127">
        <f>IF(H53="-","-",K53*H53)</f>
        <v>0</v>
      </c>
      <c r="M53" s="128">
        <f>IF($H53="-","-",(($K53/(-0.8+1)*((1/(1-$H53))^(-0.8+1)-1))))</f>
        <v>0</v>
      </c>
      <c r="N53" s="128">
        <f>IF($H53="-","-",(($K53/(-1.2+1)*((1/(1-$H53))^(-1.2+1)-1))))</f>
        <v>0</v>
      </c>
      <c r="O53" s="57"/>
    </row>
    <row r="54" spans="1:15" ht="16.5">
      <c r="A54" s="174" t="s">
        <v>201</v>
      </c>
      <c r="B54" s="174" t="s">
        <v>202</v>
      </c>
      <c r="C54" s="195" t="s">
        <v>203</v>
      </c>
      <c r="D54" s="196" t="s">
        <v>44</v>
      </c>
      <c r="E54" s="177" t="s">
        <v>72</v>
      </c>
      <c r="F54" s="177">
        <v>0</v>
      </c>
      <c r="G54" s="177">
        <v>0.1</v>
      </c>
      <c r="H54" s="177">
        <v>0.05</v>
      </c>
      <c r="I54" s="178">
        <v>311.7</v>
      </c>
      <c r="J54" s="179">
        <v>1204</v>
      </c>
      <c r="K54" s="180">
        <f>IF(J54="-",0,I54*J54)</f>
        <v>375286.8</v>
      </c>
      <c r="L54" s="181">
        <f>IF(H54="-","-",K54*H54)</f>
        <v>18764.34</v>
      </c>
      <c r="M54" s="182">
        <f>IF($H54="-","-",(($K54/(-0.8+1)*((1/(1-$H54))^(-0.8+1)-1))))</f>
        <v>19348.772853792092</v>
      </c>
      <c r="N54" s="182">
        <f>IF($H54="-","-",(($K54/(-1.2+1)*((1/(1-$H54))^(-1.2+1)-1))))</f>
        <v>19151.295053957416</v>
      </c>
      <c r="O54" s="57"/>
    </row>
    <row r="55" spans="1:15" ht="16.5">
      <c r="A55" s="119" t="s">
        <v>207</v>
      </c>
      <c r="B55" s="119" t="s">
        <v>208</v>
      </c>
      <c r="C55" s="120" t="s">
        <v>209</v>
      </c>
      <c r="D55" s="121" t="s">
        <v>36</v>
      </c>
      <c r="E55" s="122" t="s">
        <v>68</v>
      </c>
      <c r="F55" s="123">
        <v>0</v>
      </c>
      <c r="G55" s="123">
        <v>0</v>
      </c>
      <c r="H55" s="123">
        <v>0</v>
      </c>
      <c r="I55" s="124">
        <v>200</v>
      </c>
      <c r="J55" s="125">
        <v>900</v>
      </c>
      <c r="K55" s="126">
        <f>IF(J55="-",0,I55*J55)</f>
        <v>180000</v>
      </c>
      <c r="L55" s="127">
        <f>IF(H55="-","-",K55*H55)</f>
        <v>0</v>
      </c>
      <c r="M55" s="128">
        <f>IF($H55="-","-",(($K55/(-0.8+1)*((1/(1-$H55))^(-0.8+1)-1))))</f>
        <v>0</v>
      </c>
      <c r="N55" s="128">
        <f>IF($H55="-","-",(($K55/(-1.2+1)*((1/(1-$H55))^(-1.2+1)-1))))</f>
        <v>0</v>
      </c>
      <c r="O55" s="57"/>
    </row>
    <row r="56" spans="1:15" ht="16.5">
      <c r="A56" s="174" t="s">
        <v>210</v>
      </c>
      <c r="B56" s="174" t="s">
        <v>211</v>
      </c>
      <c r="C56" s="175" t="s">
        <v>212</v>
      </c>
      <c r="D56" s="79" t="s">
        <v>44</v>
      </c>
      <c r="E56" s="176" t="s">
        <v>79</v>
      </c>
      <c r="F56" s="177">
        <v>0.1</v>
      </c>
      <c r="G56" s="177">
        <v>0.4</v>
      </c>
      <c r="H56" s="177">
        <v>0.25</v>
      </c>
      <c r="I56" s="178">
        <v>336.1</v>
      </c>
      <c r="J56" s="179">
        <v>339</v>
      </c>
      <c r="K56" s="180">
        <f>IF(J56="-",0,I56*J56)</f>
        <v>113937.90000000001</v>
      </c>
      <c r="L56" s="181">
        <f>IF(H56="-","-",K56*H56)</f>
        <v>28484.475000000002</v>
      </c>
      <c r="M56" s="182">
        <f>IF($H56="-","-",(($K56/(-0.8+1)*((1/(1-$H56))^(-0.8+1)-1))))</f>
        <v>33739.20039517729</v>
      </c>
      <c r="N56" s="182">
        <f>IF($H56="-","-",(($K56/(-1.2+1)*((1/(1-$H56))^(-1.2+1)-1))))</f>
        <v>31852.757734162944</v>
      </c>
      <c r="O56" s="57"/>
    </row>
    <row r="57" spans="1:15" ht="16.5">
      <c r="A57" s="85" t="s">
        <v>213</v>
      </c>
      <c r="B57" s="85" t="s">
        <v>214</v>
      </c>
      <c r="C57" s="86" t="s">
        <v>215</v>
      </c>
      <c r="D57" s="87" t="s">
        <v>48</v>
      </c>
      <c r="E57" s="88" t="s">
        <v>68</v>
      </c>
      <c r="F57" s="89">
        <v>0</v>
      </c>
      <c r="G57" s="89">
        <v>0</v>
      </c>
      <c r="H57" s="89">
        <v>0</v>
      </c>
      <c r="I57" s="90">
        <v>508.7</v>
      </c>
      <c r="J57" s="91">
        <v>4217</v>
      </c>
      <c r="K57" s="92">
        <f>IF(J57="-",0,I57*J57)</f>
        <v>2145187.9</v>
      </c>
      <c r="L57" s="93">
        <f>IF(H57="-","-",K57*H57)</f>
        <v>0</v>
      </c>
      <c r="M57" s="94">
        <f>IF($H57="-","-",(($K57/(-0.8+1)*((1/(1-$H57))^(-0.8+1)-1))))</f>
        <v>0</v>
      </c>
      <c r="N57" s="94">
        <f>IF($H57="-","-",(($K57/(-1.2+1)*((1/(1-$H57))^(-1.2+1)-1))))</f>
        <v>0</v>
      </c>
      <c r="O57" s="57"/>
    </row>
    <row r="58" spans="1:15" ht="16.5">
      <c r="A58" s="64" t="s">
        <v>216</v>
      </c>
      <c r="B58" s="64" t="s">
        <v>217</v>
      </c>
      <c r="C58" s="65" t="s">
        <v>218</v>
      </c>
      <c r="D58" s="66" t="s">
        <v>40</v>
      </c>
      <c r="E58" s="67" t="s">
        <v>79</v>
      </c>
      <c r="F58" s="68">
        <f>IF(E58="No aumenta",0,IF(E58="Pequeña",0,IF(E58="Moderada",0.1,IF(E58="Grande",0.4,IF(E58="Esencial",0.9,"-")))))</f>
        <v>0.1</v>
      </c>
      <c r="G58" s="68">
        <f>IF(E58="No aumenta",0,IF(E58="Pequeña",0.1,IF(E58="Moderada",0.4,IF(E58="Grande",0.9,IF(E58="Esencial",1,"-")))))</f>
        <v>0.4</v>
      </c>
      <c r="H58" s="68">
        <f>IF(F58="-","-",AVERAGE(F58:G58))</f>
        <v>0.25</v>
      </c>
      <c r="I58" s="69">
        <v>1310.8</v>
      </c>
      <c r="J58" s="70">
        <v>629</v>
      </c>
      <c r="K58" s="71">
        <f>IF(J58="-",0,I58*J58)</f>
        <v>824493.2</v>
      </c>
      <c r="L58" s="72">
        <f>IF(H58="-","-",K58*H58)</f>
        <v>206123.3</v>
      </c>
      <c r="M58" s="73">
        <f>IF($H58="-","-",(($K58/(-0.8+1)*((1/(1-$H58))^(-0.8+1)-1))))</f>
        <v>244148.27111313256</v>
      </c>
      <c r="N58" s="73">
        <f>IF($H58="-","-",(($K58/(-1.2+1)*((1/(1-$H58))^(-1.2+1)-1))))</f>
        <v>230497.33366215063</v>
      </c>
      <c r="O58" s="57"/>
    </row>
    <row r="59" spans="1:13" s="1" customFormat="1" ht="29.25">
      <c r="A59" s="197" t="s">
        <v>219</v>
      </c>
      <c r="B59" s="197" t="s">
        <v>220</v>
      </c>
      <c r="C59" s="198" t="s">
        <v>221</v>
      </c>
      <c r="D59" s="113" t="s">
        <v>64</v>
      </c>
      <c r="E59" s="199" t="s">
        <v>68</v>
      </c>
      <c r="F59" s="200">
        <f>IF(E59="No aumenta",0,IF(E59="Pequeña",0,IF(E59="Moderada",0.1,IF(E59="Grande",0.4,IF(E59="Esencial",0.9,"-")))))</f>
        <v>0</v>
      </c>
      <c r="G59" s="200">
        <f>IF(E59="No aumenta",0,IF(E59="Pequeña",0.1,IF(E59="Moderada",0.4,IF(E59="Grande",0.9,IF(E59="Esencial",1,"-")))))</f>
        <v>0</v>
      </c>
      <c r="H59" s="200">
        <f>IF(F59="-","-",AVERAGE(F59:G59))</f>
        <v>0</v>
      </c>
      <c r="I59" s="201">
        <v>31.2</v>
      </c>
      <c r="J59" s="202">
        <v>3240674</v>
      </c>
      <c r="K59" s="203">
        <f>IF(J59="-",0,I59*J59)</f>
        <v>101109028.8</v>
      </c>
      <c r="L59" s="204">
        <f>IF($H59="-","-",(($K59/(-0.8+1)*((1/(1-$H59))^(-0.8+1)-1))))</f>
        <v>0</v>
      </c>
      <c r="M59" s="57"/>
    </row>
    <row r="60" spans="1:15" ht="29.25">
      <c r="A60" s="174" t="s">
        <v>222</v>
      </c>
      <c r="B60" s="174" t="s">
        <v>223</v>
      </c>
      <c r="C60" s="175" t="s">
        <v>224</v>
      </c>
      <c r="D60" s="79" t="s">
        <v>44</v>
      </c>
      <c r="E60" s="176" t="s">
        <v>79</v>
      </c>
      <c r="F60" s="177">
        <v>0.1</v>
      </c>
      <c r="G60" s="177">
        <v>0.4</v>
      </c>
      <c r="H60" s="177">
        <v>0.25</v>
      </c>
      <c r="I60" s="178">
        <v>380.1</v>
      </c>
      <c r="J60" s="179">
        <v>343977</v>
      </c>
      <c r="K60" s="180">
        <f>IF(J60="-",0,I60*J60)</f>
        <v>130745657.7</v>
      </c>
      <c r="L60" s="181">
        <f>IF(H60="-","-",K60*H60)</f>
        <v>32686414.425</v>
      </c>
      <c r="M60" s="182">
        <f>IF($H60="-","-",(($K60/(-0.8+1)*((1/(1-$H60))^(-0.8+1)-1))))</f>
        <v>38716300.247236036</v>
      </c>
      <c r="N60" s="182">
        <f>IF($H60="-","-",(($K60/(-1.2+1)*((1/(1-$H60))^(-1.2+1)-1))))</f>
        <v>36551575.54695932</v>
      </c>
      <c r="O60" s="57"/>
    </row>
    <row r="61" spans="1:15" ht="16.5">
      <c r="A61" s="85" t="s">
        <v>231</v>
      </c>
      <c r="B61" s="85" t="s">
        <v>232</v>
      </c>
      <c r="C61" s="86" t="s">
        <v>233</v>
      </c>
      <c r="D61" s="87" t="s">
        <v>48</v>
      </c>
      <c r="E61" s="88" t="s">
        <v>72</v>
      </c>
      <c r="F61" s="89">
        <v>0</v>
      </c>
      <c r="G61" s="89">
        <v>0.1</v>
      </c>
      <c r="H61" s="89">
        <v>0.05</v>
      </c>
      <c r="I61" s="90">
        <v>440.6</v>
      </c>
      <c r="J61" s="91">
        <v>8725</v>
      </c>
      <c r="K61" s="92">
        <f>IF(J61="-",0,I61*J61)</f>
        <v>3844235</v>
      </c>
      <c r="L61" s="93">
        <f>IF(H61="-","-",K61*H61)</f>
        <v>192211.75</v>
      </c>
      <c r="M61" s="94">
        <f>IF($H61="-","-",(($K61/(-0.8+1)*((1/(1-$H61))^(-0.8+1)-1))))</f>
        <v>198198.36405543025</v>
      </c>
      <c r="N61" s="94">
        <f>IF($H61="-","-",(($K61/(-1.2+1)*((1/(1-$H61))^(-1.2+1)-1))))</f>
        <v>196175.50828259875</v>
      </c>
      <c r="O61" s="57"/>
    </row>
    <row r="62" spans="1:15" ht="29.25">
      <c r="A62" s="47" t="s">
        <v>234</v>
      </c>
      <c r="B62" s="47" t="s">
        <v>235</v>
      </c>
      <c r="C62" s="48" t="s">
        <v>236</v>
      </c>
      <c r="D62" s="49" t="s">
        <v>34</v>
      </c>
      <c r="E62" s="50" t="s">
        <v>68</v>
      </c>
      <c r="F62" s="51" t="s">
        <v>63</v>
      </c>
      <c r="G62" s="51" t="s">
        <v>63</v>
      </c>
      <c r="H62" s="51" t="s">
        <v>63</v>
      </c>
      <c r="I62" s="157">
        <v>2087.7</v>
      </c>
      <c r="J62" s="158">
        <v>682</v>
      </c>
      <c r="K62" s="54">
        <f>IF(J62="-",0,I62*J62)</f>
        <v>1423811.4</v>
      </c>
      <c r="L62" s="55" t="str">
        <f>IF(H62="-","-",K62*H62)</f>
        <v>-</v>
      </c>
      <c r="M62" s="56" t="str">
        <f>IF($H62="-","-",(($K62/(-0.8+1)*((1/(1-$H62))^(-0.8+1)-1))))</f>
        <v>-</v>
      </c>
      <c r="N62" s="56" t="str">
        <f>IF($H62="-","-",(($K62/(-1.2+1)*((1/(1-$H62))^(-1.2+1)-1))))</f>
        <v>-</v>
      </c>
      <c r="O62" s="57"/>
    </row>
    <row r="63" spans="1:15" ht="16.5">
      <c r="A63" s="85" t="s">
        <v>237</v>
      </c>
      <c r="B63" s="85" t="s">
        <v>238</v>
      </c>
      <c r="C63" s="86" t="s">
        <v>239</v>
      </c>
      <c r="D63" s="87" t="s">
        <v>48</v>
      </c>
      <c r="E63" s="88" t="s">
        <v>130</v>
      </c>
      <c r="F63" s="89">
        <v>0.9</v>
      </c>
      <c r="G63" s="89">
        <v>1</v>
      </c>
      <c r="H63" s="89">
        <v>0.95</v>
      </c>
      <c r="I63" s="90">
        <v>243.3</v>
      </c>
      <c r="J63" s="91">
        <v>1868</v>
      </c>
      <c r="K63" s="92">
        <f>IF(J63="-",0,I63*J63)</f>
        <v>454484.4</v>
      </c>
      <c r="L63" s="93">
        <f>IF(H63="-","-",K63*H63)</f>
        <v>431760.18</v>
      </c>
      <c r="M63" s="94">
        <f>IF($H63="-","-",(($K63/(-0.8+1)*((1/(1-$H63))^(-0.8+1)-1))))</f>
        <v>1864668.1473689307</v>
      </c>
      <c r="N63" s="94">
        <f>IF($H63="-","-",(($K63/(-1.2+1)*((1/(1-$H63))^(-1.2+1)-1))))</f>
        <v>1024225.4265296125</v>
      </c>
      <c r="O63" s="57"/>
    </row>
    <row r="64" spans="1:15" ht="29.25">
      <c r="A64" s="119" t="s">
        <v>240</v>
      </c>
      <c r="B64" s="119" t="s">
        <v>241</v>
      </c>
      <c r="C64" s="120" t="s">
        <v>242</v>
      </c>
      <c r="D64" s="121" t="s">
        <v>36</v>
      </c>
      <c r="E64" s="122" t="s">
        <v>68</v>
      </c>
      <c r="F64" s="123">
        <v>0</v>
      </c>
      <c r="G64" s="123">
        <v>0</v>
      </c>
      <c r="H64" s="123">
        <v>0</v>
      </c>
      <c r="I64" s="124">
        <v>230.1</v>
      </c>
      <c r="J64" s="125">
        <v>2980981</v>
      </c>
      <c r="K64" s="126">
        <f>IF(J64="-",0,I64*J64)</f>
        <v>685923728.1</v>
      </c>
      <c r="L64" s="127">
        <f>IF(H64="-","-",K64*H64)</f>
        <v>0</v>
      </c>
      <c r="M64" s="128">
        <f>IF($H64="-","-",(($K64/(-0.8+1)*((1/(1-$H64))^(-0.8+1)-1))))</f>
        <v>0</v>
      </c>
      <c r="N64" s="128">
        <f>IF($H64="-","-",(($K64/(-1.2+1)*((1/(1-$H64))^(-1.2+1)-1))))</f>
        <v>0</v>
      </c>
      <c r="O64" s="57"/>
    </row>
    <row r="65" spans="1:14" ht="16.5">
      <c r="A65" s="2"/>
      <c r="I65" s="205"/>
      <c r="J65" s="206"/>
      <c r="K65" s="207"/>
      <c r="L65" s="208"/>
      <c r="M65" s="209"/>
      <c r="N65" s="209"/>
    </row>
    <row r="66" spans="1:14" ht="30" customHeight="1">
      <c r="A66" s="210" t="s">
        <v>243</v>
      </c>
      <c r="B66" s="210" t="s">
        <v>248</v>
      </c>
      <c r="C66" s="210"/>
      <c r="D66" s="210"/>
      <c r="E66" s="210"/>
      <c r="F66" s="211">
        <f>AVERAGE(F9:F64)</f>
        <v>0.16666666666666669</v>
      </c>
      <c r="G66" s="211">
        <f>AVERAGE(G9:G64)</f>
        <v>0.35111111111111115</v>
      </c>
      <c r="H66" s="211">
        <f>AVERAGE(H9:H64)</f>
        <v>0.25888888888888895</v>
      </c>
      <c r="I66" s="212">
        <f>AVERAGE(I9:I64)</f>
        <v>756.1142857142854</v>
      </c>
      <c r="J66" s="213">
        <f>AVERAGE(J9:J64)</f>
        <v>235868.26785714287</v>
      </c>
      <c r="K66" s="214">
        <f>SUM(K9:K64)</f>
        <v>2486955050.8</v>
      </c>
      <c r="L66" s="215">
        <f>SUM(L9:L64)</f>
        <v>60893350.555</v>
      </c>
      <c r="M66" s="216">
        <f>SUM(M9:M64)</f>
        <v>91618078.11680861</v>
      </c>
      <c r="N66" s="216">
        <f>SUM(N9:N64)</f>
        <v>77502052.26180883</v>
      </c>
    </row>
  </sheetData>
  <sheetProtection selectLockedCells="1" selectUnlockedCells="1"/>
  <mergeCells count="10">
    <mergeCell ref="A2:N2"/>
    <mergeCell ref="A3:N3"/>
    <mergeCell ref="P3:V3"/>
    <mergeCell ref="F4:H4"/>
    <mergeCell ref="I4:N4"/>
    <mergeCell ref="M5:N5"/>
    <mergeCell ref="U5:V5"/>
    <mergeCell ref="B6:D6"/>
    <mergeCell ref="E6:H6"/>
    <mergeCell ref="A66:E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L53"/>
  <sheetViews>
    <sheetView zoomScale="90" zoomScaleNormal="90" workbookViewId="0" topLeftCell="A34">
      <selection activeCell="A9" sqref="A9:A63"/>
    </sheetView>
  </sheetViews>
  <sheetFormatPr defaultColWidth="11.00390625" defaultRowHeight="12.75"/>
  <cols>
    <col min="1" max="1" width="10.75390625" style="1" customWidth="1"/>
    <col min="2" max="2" width="14.00390625" style="2" customWidth="1"/>
    <col min="3" max="3" width="40.75390625" style="3" customWidth="1"/>
    <col min="4" max="4" width="12.75390625" style="1" customWidth="1"/>
    <col min="5" max="5" width="11.75390625" style="4" customWidth="1"/>
    <col min="6" max="8" width="10.75390625" style="4" customWidth="1"/>
    <col min="9" max="9" width="14.625" style="1" customWidth="1"/>
    <col min="10" max="10" width="14.00390625" style="1" customWidth="1"/>
    <col min="11" max="11" width="16.875" style="5" customWidth="1"/>
    <col min="12" max="12" width="15.75390625" style="6" customWidth="1"/>
    <col min="13" max="14" width="15.75390625" style="7" customWidth="1"/>
    <col min="15" max="15" width="10.75390625" style="1" customWidth="1"/>
    <col min="16" max="16" width="12.375" style="1" customWidth="1"/>
    <col min="17" max="17" width="14.125" style="1" customWidth="1"/>
    <col min="18" max="18" width="24.75390625" style="1" customWidth="1"/>
    <col min="19" max="19" width="21.25390625" style="1" customWidth="1"/>
    <col min="20" max="20" width="14.125" style="1" customWidth="1"/>
    <col min="21" max="22" width="18.75390625" style="1" customWidth="1"/>
    <col min="23" max="245" width="10.75390625" style="1" customWidth="1"/>
    <col min="246" max="16384" width="10.75390625" style="0" customWidth="1"/>
  </cols>
  <sheetData>
    <row r="1" spans="2:14" s="8" customFormat="1" ht="12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36.75" customHeight="1">
      <c r="A2" s="9" t="s">
        <v>280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2" s="11" customFormat="1" ht="60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12" t="s">
        <v>2</v>
      </c>
      <c r="Q3" s="12"/>
      <c r="R3" s="12"/>
      <c r="S3" s="12"/>
      <c r="T3" s="12"/>
      <c r="U3" s="12"/>
      <c r="V3" s="12"/>
    </row>
    <row r="4" spans="6:246" ht="61.5" customHeight="1">
      <c r="F4" s="13" t="s">
        <v>3</v>
      </c>
      <c r="G4" s="13"/>
      <c r="H4" s="13"/>
      <c r="I4" s="14" t="s">
        <v>4</v>
      </c>
      <c r="J4" s="14"/>
      <c r="K4" s="14"/>
      <c r="L4" s="14"/>
      <c r="M4" s="14"/>
      <c r="N4" s="14"/>
      <c r="IL4" s="1"/>
    </row>
    <row r="5" spans="1:246" ht="78.75" customHeight="1">
      <c r="A5" s="15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8" t="s">
        <v>11</v>
      </c>
      <c r="H5" s="17" t="s">
        <v>12</v>
      </c>
      <c r="I5" s="19" t="s">
        <v>13</v>
      </c>
      <c r="J5" s="19" t="s">
        <v>14</v>
      </c>
      <c r="K5" s="20" t="s">
        <v>15</v>
      </c>
      <c r="L5" s="21" t="s">
        <v>16</v>
      </c>
      <c r="M5" s="22" t="s">
        <v>17</v>
      </c>
      <c r="N5" s="22"/>
      <c r="P5" s="16" t="s">
        <v>8</v>
      </c>
      <c r="Q5" s="23" t="s">
        <v>18</v>
      </c>
      <c r="R5" s="20" t="s">
        <v>15</v>
      </c>
      <c r="S5" s="21" t="s">
        <v>16</v>
      </c>
      <c r="T5" s="24" t="s">
        <v>19</v>
      </c>
      <c r="U5" s="22" t="s">
        <v>17</v>
      </c>
      <c r="V5" s="22"/>
      <c r="IL5" s="1"/>
    </row>
    <row r="6" spans="1:246" ht="47.25" customHeight="1">
      <c r="A6" s="25"/>
      <c r="B6" s="26" t="s">
        <v>20</v>
      </c>
      <c r="C6" s="26"/>
      <c r="D6" s="26"/>
      <c r="E6" s="27" t="s">
        <v>21</v>
      </c>
      <c r="F6" s="27"/>
      <c r="G6" s="27"/>
      <c r="H6" s="27"/>
      <c r="I6" s="28" t="s">
        <v>20</v>
      </c>
      <c r="J6" s="28" t="s">
        <v>22</v>
      </c>
      <c r="K6" s="29" t="s">
        <v>23</v>
      </c>
      <c r="L6" s="30" t="s">
        <v>24</v>
      </c>
      <c r="M6" s="31">
        <v>-0.8</v>
      </c>
      <c r="N6" s="31">
        <v>-1.2</v>
      </c>
      <c r="P6" s="32"/>
      <c r="Q6" s="33" t="s">
        <v>25</v>
      </c>
      <c r="R6" s="29" t="s">
        <v>23</v>
      </c>
      <c r="S6" s="30" t="s">
        <v>26</v>
      </c>
      <c r="T6" s="34" t="s">
        <v>27</v>
      </c>
      <c r="U6" s="31">
        <v>-0.8</v>
      </c>
      <c r="V6" s="31">
        <v>-1.2</v>
      </c>
      <c r="IL6" s="1"/>
    </row>
    <row r="7" spans="2:246" ht="27.75" customHeight="1">
      <c r="B7" s="35"/>
      <c r="C7" s="36"/>
      <c r="D7" s="37"/>
      <c r="E7" s="38"/>
      <c r="F7" s="39"/>
      <c r="G7" s="39"/>
      <c r="H7" s="39"/>
      <c r="I7" s="19" t="s">
        <v>28</v>
      </c>
      <c r="J7" s="19" t="s">
        <v>29</v>
      </c>
      <c r="K7" s="40" t="s">
        <v>30</v>
      </c>
      <c r="L7" s="41" t="s">
        <v>30</v>
      </c>
      <c r="M7" s="42" t="s">
        <v>30</v>
      </c>
      <c r="N7" s="42" t="s">
        <v>30</v>
      </c>
      <c r="P7" s="43"/>
      <c r="Q7" s="19"/>
      <c r="R7" s="40"/>
      <c r="S7" s="41"/>
      <c r="T7" s="44"/>
      <c r="U7" s="42"/>
      <c r="V7" s="42"/>
      <c r="IL7" s="1"/>
    </row>
    <row r="8" spans="2:246" ht="16.5">
      <c r="B8" s="35"/>
      <c r="C8" s="36"/>
      <c r="D8" s="37"/>
      <c r="E8" s="38"/>
      <c r="F8" s="39"/>
      <c r="G8" s="39"/>
      <c r="H8" s="39"/>
      <c r="I8" s="19"/>
      <c r="J8" s="19"/>
      <c r="K8" s="40"/>
      <c r="L8" s="41"/>
      <c r="M8" s="42"/>
      <c r="N8" s="42"/>
      <c r="P8" s="43"/>
      <c r="Q8" s="43"/>
      <c r="R8" s="40"/>
      <c r="S8" s="45"/>
      <c r="T8" s="44"/>
      <c r="U8" s="46"/>
      <c r="V8" s="46"/>
      <c r="IL8" s="1"/>
    </row>
    <row r="9" spans="1:22" ht="29.25">
      <c r="A9" s="47" t="s">
        <v>31</v>
      </c>
      <c r="B9" s="47" t="s">
        <v>32</v>
      </c>
      <c r="C9" s="48" t="s">
        <v>33</v>
      </c>
      <c r="D9" s="49" t="s">
        <v>34</v>
      </c>
      <c r="E9" s="50" t="s">
        <v>35</v>
      </c>
      <c r="F9" s="51">
        <v>0.4</v>
      </c>
      <c r="G9" s="51">
        <v>0.9</v>
      </c>
      <c r="H9" s="51">
        <v>0.65</v>
      </c>
      <c r="I9" s="52">
        <v>687.9</v>
      </c>
      <c r="J9" s="53">
        <v>193</v>
      </c>
      <c r="K9" s="54">
        <f>IF(J9="-",0,I9*J9)</f>
        <v>132764.69999999998</v>
      </c>
      <c r="L9" s="55">
        <f>IF(H9="-","-",$K9*H9)</f>
        <v>86297.055</v>
      </c>
      <c r="M9" s="56">
        <f>IF($H9="-","-",(($K9/(-0.8+1)*((1/(1-$H9))^(-0.8+1)-1))))</f>
        <v>155091.85411965344</v>
      </c>
      <c r="N9" s="56">
        <f>IF($H9="-","-",(($K9/(-1.2+1)*((1/(1-$H9))^(-1.2+1)-1))))</f>
        <v>125719.48603146472</v>
      </c>
      <c r="O9" s="57"/>
      <c r="P9" s="58" t="s">
        <v>36</v>
      </c>
      <c r="Q9" s="59">
        <f>SUMIF($D$9:$D$51,$P9,$K$9:$K$51)/SUMIF($D$9:$D$51,$P9,$J$9:$J$51)</f>
        <v>208.04851845283426</v>
      </c>
      <c r="R9" s="217">
        <f>SUMIF($D$9:$D$51,$P9,$K$9:$K$51)</f>
        <v>59828720.5</v>
      </c>
      <c r="S9" s="218">
        <f>SUMIF($D$9:$D$51,$P9,$L$9:$L$51)</f>
        <v>0</v>
      </c>
      <c r="T9" s="62">
        <f>IF(R9=0,"-",S9/R9)</f>
        <v>0</v>
      </c>
      <c r="U9" s="219">
        <f>SUMIF($D$9:$D$51,$P9,$M$9:$M$51)</f>
        <v>0</v>
      </c>
      <c r="V9" s="219">
        <f>SUMIF($D$9:$D$51,$P9,$N$9:$N$51)</f>
        <v>0</v>
      </c>
    </row>
    <row r="10" spans="1:22" ht="16.5">
      <c r="A10" s="64" t="s">
        <v>37</v>
      </c>
      <c r="B10" s="64" t="s">
        <v>38</v>
      </c>
      <c r="C10" s="65" t="s">
        <v>39</v>
      </c>
      <c r="D10" s="66" t="s">
        <v>40</v>
      </c>
      <c r="E10" s="67" t="s">
        <v>35</v>
      </c>
      <c r="F10" s="68">
        <v>0.4</v>
      </c>
      <c r="G10" s="68">
        <v>0.9</v>
      </c>
      <c r="H10" s="68">
        <v>0.65</v>
      </c>
      <c r="I10" s="69">
        <v>342.2</v>
      </c>
      <c r="J10" s="70">
        <v>248</v>
      </c>
      <c r="K10" s="71">
        <f>IF(J10="-",0,I10*J10)</f>
        <v>84865.59999999999</v>
      </c>
      <c r="L10" s="72">
        <f>IF(H10="-","-",K10*H10)</f>
        <v>55162.64</v>
      </c>
      <c r="M10" s="73">
        <f>IF($H10="-","-",(($K10/(-0.8+1)*((1/(1-$H10))^(-0.8+1)-1))))</f>
        <v>99137.52115567512</v>
      </c>
      <c r="N10" s="73">
        <f>IF($H10="-","-",(($K10/(-1.2+1)*((1/(1-$H10))^(-1.2+1)-1))))</f>
        <v>80362.1716747891</v>
      </c>
      <c r="O10" s="57"/>
      <c r="P10" s="66" t="s">
        <v>40</v>
      </c>
      <c r="Q10" s="74">
        <f>SUMIF($D$9:$D$51,$P10,$K$9:$K$51)/SUMIF($D$9:$D$51,$P10,$J$9:$J$51)</f>
        <v>602.3323764787752</v>
      </c>
      <c r="R10" s="220">
        <f>SUMIF($D$9:$D$51,$P10,$K$9:$K$51)</f>
        <v>10386619.5</v>
      </c>
      <c r="S10" s="221">
        <f>SUMIF($D$9:$D$51,$P10,$L$9:$L$51)</f>
        <v>174377.425</v>
      </c>
      <c r="T10" s="77">
        <f>IF(R10=0,"-",S10/R10)</f>
        <v>0.01678866016031491</v>
      </c>
      <c r="U10" s="222">
        <f>SUMIF($D$9:$D$51,$P10,$M$9:$M$51)</f>
        <v>281247.6213265314</v>
      </c>
      <c r="V10" s="222">
        <f>SUMIF($D$9:$D$51,$P10,$N$9:$N$51)</f>
        <v>236276.35451086838</v>
      </c>
    </row>
    <row r="11" spans="1:22" ht="29.25">
      <c r="A11" s="64" t="s">
        <v>41</v>
      </c>
      <c r="B11" s="64" t="s">
        <v>42</v>
      </c>
      <c r="C11" s="65" t="s">
        <v>43</v>
      </c>
      <c r="D11" s="66" t="s">
        <v>40</v>
      </c>
      <c r="E11" s="67" t="s">
        <v>35</v>
      </c>
      <c r="F11" s="68">
        <v>0.4</v>
      </c>
      <c r="G11" s="68">
        <v>0.9</v>
      </c>
      <c r="H11" s="68">
        <v>0.65</v>
      </c>
      <c r="I11" s="69">
        <v>745.8</v>
      </c>
      <c r="J11" s="70">
        <v>2</v>
      </c>
      <c r="K11" s="71">
        <f>IF(J11="-",0,I11*J11)</f>
        <v>1491.6</v>
      </c>
      <c r="L11" s="72">
        <f>IF(H11="-","-",K11*H11)</f>
        <v>969.54</v>
      </c>
      <c r="M11" s="73">
        <f>IF($H11="-","-",(($K11/(-0.8+1)*((1/(1-$H11))^(-0.8+1)-1))))</f>
        <v>1742.443658629704</v>
      </c>
      <c r="N11" s="73">
        <f>IF($H11="-","-",(($K11/(-1.2+1)*((1/(1-$H11))^(-1.2+1)-1))))</f>
        <v>1412.447626248037</v>
      </c>
      <c r="O11" s="57"/>
      <c r="P11" s="79" t="s">
        <v>44</v>
      </c>
      <c r="Q11" s="80">
        <f>SUMIF($D$9:$D$51,$P11,$K$9:$K$51)/SUMIF($D$9:$D$51,$P11,$J$9:$J$51)</f>
        <v>396.1997744746284</v>
      </c>
      <c r="R11" s="223">
        <f>SUMIF($D$9:$D$51,$P11,$K$9:$K$51)</f>
        <v>11594786.4</v>
      </c>
      <c r="S11" s="224">
        <f>SUMIF($D$9:$D$51,$P11,$L$9:$L$51)</f>
        <v>41892.39</v>
      </c>
      <c r="T11" s="83">
        <f>IF(R11=0,"-",S11/R11)</f>
        <v>0.0036130368041967552</v>
      </c>
      <c r="U11" s="225">
        <f>SUMIF($D$9:$D$51,$P11,$M$9:$M$51)</f>
        <v>49491.52318726978</v>
      </c>
      <c r="V11" s="225">
        <f>SUMIF($D$9:$D$51,$P11,$N$9:$N$51)</f>
        <v>46763.9929537095</v>
      </c>
    </row>
    <row r="12" spans="1:22" ht="42.75">
      <c r="A12" s="85" t="s">
        <v>45</v>
      </c>
      <c r="B12" s="85" t="s">
        <v>46</v>
      </c>
      <c r="C12" s="86" t="s">
        <v>47</v>
      </c>
      <c r="D12" s="87" t="s">
        <v>48</v>
      </c>
      <c r="E12" s="88" t="s">
        <v>49</v>
      </c>
      <c r="F12" s="89" t="str">
        <f>IF(E12="No aumenta",0,IF(E12="Pequeña",0,IF(E12="Moderada",0.1,IF(E12="Grande",0.4,IF(E12="Esencial",0.9,"-")))))</f>
        <v>-</v>
      </c>
      <c r="G12" s="89" t="str">
        <f>IF(E12="No aumenta",0,IF(E12="Pequeña",0.1,IF(E12="Moderada",0.4,IF(E12="Grande",0.9,IF(E12="Esencial",1,"-")))))</f>
        <v>-</v>
      </c>
      <c r="H12" s="89" t="str">
        <f>IF(F12="-","-",AVERAGE(F12:G12))</f>
        <v>-</v>
      </c>
      <c r="I12" s="90">
        <v>661.2</v>
      </c>
      <c r="J12" s="91">
        <v>300</v>
      </c>
      <c r="K12" s="92">
        <f>IF(J12="-",0,I12*J12)</f>
        <v>198360</v>
      </c>
      <c r="L12" s="93" t="str">
        <f>IF(H12="-","-",K12*H12)</f>
        <v>-</v>
      </c>
      <c r="M12" s="94" t="str">
        <f>IF($H12="-","-",(($K12/(-0.8+1)*((1/(1-$H12))^(-0.8+1)-1))))</f>
        <v>-</v>
      </c>
      <c r="N12" s="94" t="str">
        <f>IF($H12="-","-",(($K12/(-1.2+1)*((1/(1-$H12))^(-1.2+1)-1))))</f>
        <v>-</v>
      </c>
      <c r="O12" s="57"/>
      <c r="P12" s="95" t="s">
        <v>50</v>
      </c>
      <c r="Q12" s="96">
        <f>SUMIF($D$9:$D$51,$P12,$K$9:$K$51)/SUMIF($D$9:$D$51,$P12,$J$9:$J$51)</f>
        <v>279.3097758496023</v>
      </c>
      <c r="R12" s="226">
        <f>SUMIF($D$9:$D$51,$P12,$K$9:$K$51)</f>
        <v>1931427.0999999999</v>
      </c>
      <c r="S12" s="227">
        <f>SUMIF($D$9:$D$51,$P12,$L$9:$L$51)</f>
        <v>3144.575</v>
      </c>
      <c r="T12" s="99">
        <f>IF(R12=0,"-",S12/R12)</f>
        <v>0.0016281095983379336</v>
      </c>
      <c r="U12" s="228">
        <f>SUMIF($D$9:$D$51,$P12,$M$9:$M$51)</f>
        <v>3724.6761993213713</v>
      </c>
      <c r="V12" s="228">
        <f>SUMIF($D$9:$D$51,$P12,$N$9:$N$51)</f>
        <v>3516.4202833966724</v>
      </c>
    </row>
    <row r="13" spans="1:22" ht="42.75">
      <c r="A13" s="85" t="s">
        <v>51</v>
      </c>
      <c r="B13" s="85" t="s">
        <v>52</v>
      </c>
      <c r="C13" s="86" t="s">
        <v>53</v>
      </c>
      <c r="D13" s="87" t="s">
        <v>48</v>
      </c>
      <c r="E13" s="88" t="s">
        <v>49</v>
      </c>
      <c r="F13" s="89" t="str">
        <f>IF(E13="No aumenta",0,IF(E13="Pequeña",0,IF(E13="Moderada",0.1,IF(E13="Grande",0.4,IF(E13="Esencial",0.9,"-")))))</f>
        <v>-</v>
      </c>
      <c r="G13" s="89" t="str">
        <f>IF(E13="No aumenta",0,IF(E13="Pequeña",0.1,IF(E13="Moderada",0.4,IF(E13="Grande",0.9,IF(E13="Esencial",1,"-")))))</f>
        <v>-</v>
      </c>
      <c r="H13" s="89" t="str">
        <f>IF(F13="-","-",AVERAGE(F13:G13))</f>
        <v>-</v>
      </c>
      <c r="I13" s="90">
        <v>1257.3</v>
      </c>
      <c r="J13" s="91">
        <v>250</v>
      </c>
      <c r="K13" s="92">
        <f>IF(J13="-",0,I13*J13)</f>
        <v>314325</v>
      </c>
      <c r="L13" s="93" t="str">
        <f>IF(H13="-","-",K13*H13)</f>
        <v>-</v>
      </c>
      <c r="M13" s="94" t="str">
        <f>IF($H13="-","-",(($K13/(-0.8+1)*((1/(1-$H13))^(-0.8+1)-1))))</f>
        <v>-</v>
      </c>
      <c r="N13" s="94" t="str">
        <f>IF($H13="-","-",(($K13/(-1.2+1)*((1/(1-$H13))^(-1.2+1)-1))))</f>
        <v>-</v>
      </c>
      <c r="O13" s="57"/>
      <c r="P13" s="101" t="s">
        <v>54</v>
      </c>
      <c r="Q13" s="102">
        <f>SUMIF($D$9:$D$51,$P13,$K$9:$K$51)/SUMIF($D$9:$D$51,$P13,$J$9:$J$51)</f>
        <v>212.7</v>
      </c>
      <c r="R13" s="229">
        <f>SUMIF($D$9:$D$51,$P13,$K$9:$K$51)</f>
        <v>715948.2</v>
      </c>
      <c r="S13" s="230">
        <f>SUMIF($D$9:$D$51,$P13,$L$9:$L$51)</f>
        <v>0</v>
      </c>
      <c r="T13" s="105">
        <f>IF(R13=0,"-",S13/R13)</f>
        <v>0</v>
      </c>
      <c r="U13" s="231">
        <f>SUMIF($D$9:$D$51,$P13,$M$9:$M$51)</f>
        <v>0</v>
      </c>
      <c r="V13" s="231">
        <f>SUMIF($D$9:$D$51,$P13,$N$9:$N$51)</f>
        <v>0</v>
      </c>
    </row>
    <row r="14" spans="1:22" ht="16.5">
      <c r="A14" s="119" t="s">
        <v>65</v>
      </c>
      <c r="B14" s="119" t="s">
        <v>66</v>
      </c>
      <c r="C14" s="120" t="s">
        <v>67</v>
      </c>
      <c r="D14" s="121" t="s">
        <v>36</v>
      </c>
      <c r="E14" s="122" t="s">
        <v>68</v>
      </c>
      <c r="F14" s="123">
        <v>0</v>
      </c>
      <c r="G14" s="123">
        <v>0</v>
      </c>
      <c r="H14" s="123">
        <v>0</v>
      </c>
      <c r="I14" s="124">
        <v>194.8</v>
      </c>
      <c r="J14" s="125">
        <v>134695</v>
      </c>
      <c r="K14" s="126">
        <f>IF(J14="-",0,I14*J14)</f>
        <v>26238586</v>
      </c>
      <c r="L14" s="127">
        <f>IF(H14="-","-",K14*H14)</f>
        <v>0</v>
      </c>
      <c r="M14" s="128">
        <f>IF($H14="-","-",(($K14/(-0.8+1)*((1/(1-$H14))^(-0.8+1)-1))))</f>
        <v>0</v>
      </c>
      <c r="N14" s="128">
        <f>IF($H14="-","-",(($K14/(-1.2+1)*((1/(1-$H14))^(-1.2+1)-1))))</f>
        <v>0</v>
      </c>
      <c r="O14" s="57"/>
      <c r="P14" s="49" t="s">
        <v>34</v>
      </c>
      <c r="Q14" s="129">
        <f>SUMIF($D$9:$D$51,$P14,$K$9:$K$51)/SUMIF($D$9:$D$51,$P14,$J$9:$J$51)</f>
        <v>862.3204444444443</v>
      </c>
      <c r="R14" s="232">
        <f>SUMIF($D$9:$D$51,$P14,$K$9:$K$51)</f>
        <v>194022.09999999998</v>
      </c>
      <c r="S14" s="233">
        <f>SUMIF($D$9:$D$51,$P14,$L$9:$L$51)</f>
        <v>90129.055</v>
      </c>
      <c r="T14" s="132">
        <f>IF(R14=0,"-",S14/R14)</f>
        <v>0.46452983964197897</v>
      </c>
      <c r="U14" s="234">
        <f>SUMIF($D$9:$D$51,$P14,$M$9:$M$51)</f>
        <v>159630.7692976344</v>
      </c>
      <c r="V14" s="234">
        <f>SUMIF($D$9:$D$51,$P14,$N$9:$N$51)</f>
        <v>130004.61916582343</v>
      </c>
    </row>
    <row r="15" spans="1:22" ht="42.75">
      <c r="A15" s="134" t="s">
        <v>69</v>
      </c>
      <c r="B15" s="134" t="s">
        <v>70</v>
      </c>
      <c r="C15" s="135" t="s">
        <v>71</v>
      </c>
      <c r="D15" s="95" t="s">
        <v>50</v>
      </c>
      <c r="E15" s="136" t="s">
        <v>72</v>
      </c>
      <c r="F15" s="137">
        <v>0</v>
      </c>
      <c r="G15" s="137">
        <v>0.1</v>
      </c>
      <c r="H15" s="137">
        <v>0.05</v>
      </c>
      <c r="I15" s="138">
        <v>1857.6</v>
      </c>
      <c r="J15" s="139"/>
      <c r="K15" s="140">
        <f>IF(J15="-",0,I15*J15)</f>
        <v>0</v>
      </c>
      <c r="L15" s="141">
        <f>IF(H15="-","-",K15*H15)</f>
        <v>0</v>
      </c>
      <c r="M15" s="142">
        <f>IF($H15="-","-",(($K15/(-0.8+1)*((1/(1-$H15))^(-0.8+1)-1))))</f>
        <v>0</v>
      </c>
      <c r="N15" s="142">
        <f>IF($H15="-","-",(($K15/(-1.2+1)*((1/(1-$H15))^(-1.2+1)-1))))</f>
        <v>0</v>
      </c>
      <c r="O15" s="57"/>
      <c r="P15" s="87" t="s">
        <v>48</v>
      </c>
      <c r="Q15" s="143">
        <f>SUMIF($D$9:$D$51,$P15,$K$9:$K$51)/SUMIF($D$9:$D$51,$P15,$J$9:$J$51)</f>
        <v>435.97784326159126</v>
      </c>
      <c r="R15" s="235">
        <f>SUMIF($D$9:$D$51,$P15,$K$9:$K$51)</f>
        <v>11688130</v>
      </c>
      <c r="S15" s="236">
        <f>SUMIF($D$9:$D$51,$P15,$L$9:$L$51)</f>
        <v>4613265.140000001</v>
      </c>
      <c r="T15" s="146">
        <f>IF(R15=0,"-",S15/R15)</f>
        <v>0.3946965973171072</v>
      </c>
      <c r="U15" s="237">
        <f>SUMIF($D$9:$D$51,$P15,$M$9:$M$51)</f>
        <v>12325205.43995002</v>
      </c>
      <c r="V15" s="237">
        <f>SUMIF($D$9:$D$51,$P15,$N$9:$N$51)</f>
        <v>8171227.277514921</v>
      </c>
    </row>
    <row r="16" spans="1:22" ht="29.25">
      <c r="A16" s="85" t="s">
        <v>73</v>
      </c>
      <c r="B16" s="85" t="s">
        <v>74</v>
      </c>
      <c r="C16" s="86" t="s">
        <v>75</v>
      </c>
      <c r="D16" s="87" t="s">
        <v>48</v>
      </c>
      <c r="E16" s="88" t="s">
        <v>72</v>
      </c>
      <c r="F16" s="89">
        <v>0</v>
      </c>
      <c r="G16" s="89">
        <v>0.1</v>
      </c>
      <c r="H16" s="89">
        <v>0.05</v>
      </c>
      <c r="I16" s="90">
        <v>1536</v>
      </c>
      <c r="J16" s="91">
        <v>13</v>
      </c>
      <c r="K16" s="92">
        <f>IF(J16="-",0,I16*J16)</f>
        <v>19968</v>
      </c>
      <c r="L16" s="93">
        <f>IF(H16="-","-",K16*H16)</f>
        <v>998.4000000000001</v>
      </c>
      <c r="M16" s="94">
        <f>IF($H16="-","-",(($K16/(-0.8+1)*((1/(1-$H16))^(-0.8+1)-1))))</f>
        <v>1029.4960983027395</v>
      </c>
      <c r="N16" s="94">
        <f>IF($H16="-","-",(($K16/(-1.2+1)*((1/(1-$H16))^(-1.2+1)-1))))</f>
        <v>1018.9888363710679</v>
      </c>
      <c r="O16" s="57"/>
      <c r="P16" s="57"/>
      <c r="Q16" s="57"/>
      <c r="R16" s="238"/>
      <c r="S16" s="239"/>
      <c r="T16" s="150"/>
      <c r="U16" s="240"/>
      <c r="V16" s="240"/>
    </row>
    <row r="17" spans="1:22" ht="42.75">
      <c r="A17" s="134" t="s">
        <v>254</v>
      </c>
      <c r="B17" s="134" t="s">
        <v>77</v>
      </c>
      <c r="C17" s="135" t="s">
        <v>78</v>
      </c>
      <c r="D17" s="95" t="s">
        <v>50</v>
      </c>
      <c r="E17" s="136" t="s">
        <v>79</v>
      </c>
      <c r="F17" s="137">
        <v>0.1</v>
      </c>
      <c r="G17" s="137">
        <v>0.4</v>
      </c>
      <c r="H17" s="137">
        <v>0.25</v>
      </c>
      <c r="I17" s="138">
        <v>256.7</v>
      </c>
      <c r="J17" s="139">
        <v>49</v>
      </c>
      <c r="K17" s="140">
        <f>IF(J17="-",0,I17*J17)</f>
        <v>12578.3</v>
      </c>
      <c r="L17" s="141">
        <f>IF(H17="-","-",K17*H17)</f>
        <v>3144.575</v>
      </c>
      <c r="M17" s="142">
        <f>IF($H17="-","-",(($K17/(-0.8+1)*((1/(1-$H17))^(-0.8+1)-1))))</f>
        <v>3724.6761993213713</v>
      </c>
      <c r="N17" s="142">
        <f>IF($H17="-","-",(($K17/(-1.2+1)*((1/(1-$H17))^(-1.2+1)-1))))</f>
        <v>3516.4202833966724</v>
      </c>
      <c r="O17" s="57"/>
      <c r="P17" s="152" t="s">
        <v>80</v>
      </c>
      <c r="Q17" s="152"/>
      <c r="R17" s="241">
        <f>SUM(R9:R15)</f>
        <v>96339653.8</v>
      </c>
      <c r="S17" s="242">
        <f>SUM(S9:S15)</f>
        <v>4922808.585</v>
      </c>
      <c r="T17" s="155">
        <f>IF(R17=0,"-",S17/R17)</f>
        <v>0.051098466631608344</v>
      </c>
      <c r="U17" s="243">
        <f>SUM(U9:U15)</f>
        <v>12819300.029960778</v>
      </c>
      <c r="V17" s="243">
        <f>SUM(V9:V15)</f>
        <v>8587788.664428718</v>
      </c>
    </row>
    <row r="18" spans="1:15" ht="42.75">
      <c r="A18" s="85" t="s">
        <v>81</v>
      </c>
      <c r="B18" s="85" t="s">
        <v>82</v>
      </c>
      <c r="C18" s="86" t="s">
        <v>83</v>
      </c>
      <c r="D18" s="87" t="s">
        <v>48</v>
      </c>
      <c r="E18" s="88" t="s">
        <v>49</v>
      </c>
      <c r="F18" s="89" t="str">
        <f>IF(E18="No aumenta",0,IF(E18="Pequeña",0,IF(E18="Moderada",0.1,IF(E18="Grande",0.4,IF(E18="Esencial",0.9,"-")))))</f>
        <v>-</v>
      </c>
      <c r="G18" s="89" t="str">
        <f>IF(E18="No aumenta",0,IF(E18="Pequeña",0.1,IF(E18="Moderada",0.4,IF(E18="Grande",0.9,IF(E18="Esencial",1,"-")))))</f>
        <v>-</v>
      </c>
      <c r="H18" s="89" t="str">
        <f>IF(F18="-","-",AVERAGE(F18:G18))</f>
        <v>-</v>
      </c>
      <c r="I18" s="90">
        <v>247</v>
      </c>
      <c r="J18" s="91">
        <v>2156</v>
      </c>
      <c r="K18" s="92">
        <f>IF(J18="-",0,I18*J18)</f>
        <v>532532</v>
      </c>
      <c r="L18" s="93" t="str">
        <f>IF(H18="-","-",K18*H18)</f>
        <v>-</v>
      </c>
      <c r="M18" s="94" t="str">
        <f>IF($H18="-","-",(($K18/(-0.8+1)*((1/(1-$H18))^(-0.8+1)-1))))</f>
        <v>-</v>
      </c>
      <c r="N18" s="94" t="str">
        <f>IF($H18="-","-",(($K18/(-1.2+1)*((1/(1-$H18))^(-1.2+1)-1))))</f>
        <v>-</v>
      </c>
      <c r="O18" s="57"/>
    </row>
    <row r="19" spans="1:15" ht="42.75">
      <c r="A19" s="85" t="s">
        <v>84</v>
      </c>
      <c r="B19" s="85" t="s">
        <v>85</v>
      </c>
      <c r="C19" s="86" t="s">
        <v>86</v>
      </c>
      <c r="D19" s="87" t="s">
        <v>48</v>
      </c>
      <c r="E19" s="88" t="s">
        <v>49</v>
      </c>
      <c r="F19" s="89" t="str">
        <f>IF(E19="No aumenta",0,IF(E19="Pequeña",0,IF(E19="Moderada",0.1,IF(E19="Grande",0.4,IF(E19="Esencial",0.9,"-")))))</f>
        <v>-</v>
      </c>
      <c r="G19" s="89" t="str">
        <f>IF(E19="No aumenta",0,IF(E19="Pequeña",0.1,IF(E19="Moderada",0.4,IF(E19="Grande",0.9,IF(E19="Esencial",1,"-")))))</f>
        <v>-</v>
      </c>
      <c r="H19" s="89" t="str">
        <f>IF(F19="-","-",AVERAGE(F19:G19))</f>
        <v>-</v>
      </c>
      <c r="I19" s="90">
        <v>283.4</v>
      </c>
      <c r="J19" s="91">
        <v>105</v>
      </c>
      <c r="K19" s="92">
        <f>IF(J19="-",0,I19*J19)</f>
        <v>29756.999999999996</v>
      </c>
      <c r="L19" s="93" t="str">
        <f>IF(H19="-","-",K19*H19)</f>
        <v>-</v>
      </c>
      <c r="M19" s="94" t="str">
        <f>IF($H19="-","-",(($K19/(-0.8+1)*((1/(1-$H19))^(-0.8+1)-1))))</f>
        <v>-</v>
      </c>
      <c r="N19" s="94" t="str">
        <f>IF($H19="-","-",(($K19/(-1.2+1)*((1/(1-$H19))^(-1.2+1)-1))))</f>
        <v>-</v>
      </c>
      <c r="O19" s="57"/>
    </row>
    <row r="20" spans="1:15" ht="42.75">
      <c r="A20" s="85" t="s">
        <v>281</v>
      </c>
      <c r="B20" s="85" t="s">
        <v>88</v>
      </c>
      <c r="C20" s="86" t="s">
        <v>83</v>
      </c>
      <c r="D20" s="87" t="s">
        <v>48</v>
      </c>
      <c r="E20" s="88" t="s">
        <v>49</v>
      </c>
      <c r="F20" s="89" t="str">
        <f>IF(E20="No aumenta",0,IF(E20="Pequeña",0,IF(E20="Moderada",0.1,IF(E20="Grande",0.4,IF(E20="Esencial",0.9,"-")))))</f>
        <v>-</v>
      </c>
      <c r="G20" s="89" t="str">
        <f>IF(E20="No aumenta",0,IF(E20="Pequeña",0.1,IF(E20="Moderada",0.4,IF(E20="Grande",0.9,IF(E20="Esencial",1,"-")))))</f>
        <v>-</v>
      </c>
      <c r="H20" s="89" t="str">
        <f>IF(F20="-","-",AVERAGE(F20:G20))</f>
        <v>-</v>
      </c>
      <c r="I20" s="90">
        <v>325.3</v>
      </c>
      <c r="J20" s="91">
        <v>50</v>
      </c>
      <c r="K20" s="92">
        <f>IF(J20="-",0,I20*J20)</f>
        <v>16265</v>
      </c>
      <c r="L20" s="93" t="str">
        <f>IF(H20="-","-",K20*H20)</f>
        <v>-</v>
      </c>
      <c r="M20" s="94" t="str">
        <f>IF($H20="-","-",(($K20/(-0.8+1)*((1/(1-$H20))^(-0.8+1)-1))))</f>
        <v>-</v>
      </c>
      <c r="N20" s="94" t="str">
        <f>IF($H20="-","-",(($K20/(-1.2+1)*((1/(1-$H20))^(-1.2+1)-1))))</f>
        <v>-</v>
      </c>
      <c r="O20" s="57"/>
    </row>
    <row r="21" spans="1:15" ht="29.25">
      <c r="A21" s="64" t="s">
        <v>246</v>
      </c>
      <c r="B21" s="64" t="s">
        <v>90</v>
      </c>
      <c r="C21" s="65" t="s">
        <v>91</v>
      </c>
      <c r="D21" s="66" t="s">
        <v>40</v>
      </c>
      <c r="E21" s="67" t="s">
        <v>35</v>
      </c>
      <c r="F21" s="68">
        <f>IF(E21="No aumenta",0,IF(E21="Pequeña",0,IF(E21="Moderada",0.1,IF(E21="Grande",0.4,IF(E21="Esencial",0.9,"-")))))</f>
        <v>0.4</v>
      </c>
      <c r="G21" s="68">
        <f>IF(E21="No aumenta",0,IF(E21="Pequeña",0.1,IF(E21="Moderada",0.4,IF(E21="Grande",0.9,IF(E21="Esencial",1,"-")))))</f>
        <v>0.9</v>
      </c>
      <c r="H21" s="68">
        <f>IF(F21="-","-",AVERAGE(F21:G21))</f>
        <v>0.65</v>
      </c>
      <c r="I21" s="69">
        <v>1344.2</v>
      </c>
      <c r="J21" s="70">
        <v>6</v>
      </c>
      <c r="K21" s="71">
        <f>IF(J21="-",0,I21*J21)</f>
        <v>8065.200000000001</v>
      </c>
      <c r="L21" s="72">
        <f>IF(H21="-","-",K21*H21)</f>
        <v>5242.380000000001</v>
      </c>
      <c r="M21" s="73">
        <f>IF($H21="-","-",(($K21/(-0.8+1)*((1/(1-$H21))^(-0.8+1)-1))))</f>
        <v>9421.531640909287</v>
      </c>
      <c r="N21" s="73">
        <f>IF($H21="-","-",(($K21/(-1.2+1)*((1/(1-$H21))^(-1.2+1)-1))))</f>
        <v>7637.216810951778</v>
      </c>
      <c r="O21" s="57"/>
    </row>
    <row r="22" spans="1:15" ht="16.5">
      <c r="A22" s="47" t="s">
        <v>92</v>
      </c>
      <c r="B22" s="47" t="s">
        <v>93</v>
      </c>
      <c r="C22" s="48" t="s">
        <v>94</v>
      </c>
      <c r="D22" s="49" t="s">
        <v>34</v>
      </c>
      <c r="E22" s="50" t="s">
        <v>79</v>
      </c>
      <c r="F22" s="51">
        <f>IF(E22="No aumenta",0,IF(E22="Pequeña",0,IF(E22="Moderada",0.1,IF(E22="Grande",0.4,IF(E22="Esencial",0.9,"-")))))</f>
        <v>0.1</v>
      </c>
      <c r="G22" s="51">
        <f>IF(E22="No aumenta",0,IF(E22="Pequeña",0.1,IF(E22="Moderada",0.4,IF(E22="Grande",0.9,IF(E22="Esencial",1,"-")))))</f>
        <v>0.4</v>
      </c>
      <c r="H22" s="51">
        <f>IF(F22="-","-",AVERAGE(F22:G22))</f>
        <v>0.25</v>
      </c>
      <c r="I22" s="157">
        <v>1532.8</v>
      </c>
      <c r="J22" s="158">
        <v>10</v>
      </c>
      <c r="K22" s="54">
        <f>IF(J22="-",0,I22*J22)</f>
        <v>15328</v>
      </c>
      <c r="L22" s="55">
        <f>IF(H22="-","-",K22*H22)</f>
        <v>3832</v>
      </c>
      <c r="M22" s="56">
        <f>IF($H22="-","-",(($K22/(-0.8+1)*((1/(1-$H22))^(-0.8+1)-1))))</f>
        <v>4538.915177980966</v>
      </c>
      <c r="N22" s="56">
        <f>IF($H22="-","-",(($K22/(-1.2+1)*((1/(1-$H22))^(-1.2+1)-1))))</f>
        <v>4285.133134358713</v>
      </c>
      <c r="O22" s="57"/>
    </row>
    <row r="23" spans="1:15" ht="16.5">
      <c r="A23" s="134" t="s">
        <v>95</v>
      </c>
      <c r="B23" s="134" t="s">
        <v>96</v>
      </c>
      <c r="C23" s="135" t="s">
        <v>97</v>
      </c>
      <c r="D23" s="95" t="s">
        <v>50</v>
      </c>
      <c r="E23" s="136" t="s">
        <v>68</v>
      </c>
      <c r="F23" s="137">
        <v>0</v>
      </c>
      <c r="G23" s="137">
        <v>0</v>
      </c>
      <c r="H23" s="137">
        <v>0</v>
      </c>
      <c r="I23" s="138">
        <v>652.7</v>
      </c>
      <c r="J23" s="139">
        <v>687</v>
      </c>
      <c r="K23" s="140">
        <f>IF(J23="-",0,I23*J23)</f>
        <v>448404.9</v>
      </c>
      <c r="L23" s="141">
        <f>IF(H23="-","-",K23*H23)</f>
        <v>0</v>
      </c>
      <c r="M23" s="142">
        <f>IF($H23="-","-",(($K23/(-0.8+1)*((1/(1-$H23))^(-0.8+1)-1))))</f>
        <v>0</v>
      </c>
      <c r="N23" s="142">
        <f>IF($H23="-","-",(($K23/(-1.2+1)*((1/(1-$H23))^(-1.2+1)-1))))</f>
        <v>0</v>
      </c>
      <c r="O23" s="57"/>
    </row>
    <row r="24" spans="1:15" ht="29.25">
      <c r="A24" s="85" t="s">
        <v>101</v>
      </c>
      <c r="B24" s="85" t="s">
        <v>102</v>
      </c>
      <c r="C24" s="86" t="s">
        <v>100</v>
      </c>
      <c r="D24" s="87" t="s">
        <v>48</v>
      </c>
      <c r="E24" s="88" t="s">
        <v>72</v>
      </c>
      <c r="F24" s="89">
        <v>0</v>
      </c>
      <c r="G24" s="89">
        <v>0.1</v>
      </c>
      <c r="H24" s="89">
        <v>0.05</v>
      </c>
      <c r="I24" s="90">
        <v>708.5</v>
      </c>
      <c r="J24" s="91">
        <v>750</v>
      </c>
      <c r="K24" s="92">
        <f>IF(J24="-",0,I24*J24)</f>
        <v>531375</v>
      </c>
      <c r="L24" s="93">
        <f>IF(H24="-","-",K24*H24)</f>
        <v>26568.75</v>
      </c>
      <c r="M24" s="94">
        <f>IF($H24="-","-",(($K24/(-0.8+1)*((1/(1-$H24))^(-0.8+1)-1))))</f>
        <v>27396.258475341452</v>
      </c>
      <c r="N24" s="94">
        <f>IF($H24="-","-",(($K24/(-1.2+1)*((1/(1-$H24))^(-1.2+1)-1))))</f>
        <v>27116.64628038242</v>
      </c>
      <c r="O24" s="57"/>
    </row>
    <row r="25" spans="1:15" ht="29.25">
      <c r="A25" s="85" t="s">
        <v>103</v>
      </c>
      <c r="B25" s="85" t="s">
        <v>104</v>
      </c>
      <c r="C25" s="86" t="s">
        <v>105</v>
      </c>
      <c r="D25" s="87" t="s">
        <v>48</v>
      </c>
      <c r="E25" s="88" t="s">
        <v>35</v>
      </c>
      <c r="F25" s="89">
        <v>0.4</v>
      </c>
      <c r="G25" s="89">
        <v>0.9</v>
      </c>
      <c r="H25" s="89">
        <v>0.65</v>
      </c>
      <c r="I25" s="90">
        <v>371.5</v>
      </c>
      <c r="J25" s="91">
        <v>12000</v>
      </c>
      <c r="K25" s="92">
        <f>IF(J25="-",0,I25*J25)</f>
        <v>4458000</v>
      </c>
      <c r="L25" s="93">
        <f>IF(H25="-","-",K25*H25)</f>
        <v>2897700</v>
      </c>
      <c r="M25" s="94">
        <f>IF($H25="-","-",(($K25/(-0.8+1)*((1/(1-$H25))^(-0.8+1)-1))))</f>
        <v>5207705.705397707</v>
      </c>
      <c r="N25" s="94">
        <f>IF($H25="-","-",(($K25/(-1.2+1)*((1/(1-$H25))^(-1.2+1)-1))))</f>
        <v>4221434.377724423</v>
      </c>
      <c r="O25" s="57"/>
    </row>
    <row r="26" spans="1:15" ht="16.5">
      <c r="A26" s="64" t="s">
        <v>109</v>
      </c>
      <c r="B26" s="64" t="s">
        <v>110</v>
      </c>
      <c r="C26" s="65" t="s">
        <v>111</v>
      </c>
      <c r="D26" s="66" t="s">
        <v>40</v>
      </c>
      <c r="E26" s="67" t="s">
        <v>79</v>
      </c>
      <c r="F26" s="68">
        <f>IF(E26="No aumenta",0,IF(E26="Pequeña",0,IF(E26="Moderada",0.1,IF(E26="Grande",0.4,IF(E26="Esencial",0.9,"-")))))</f>
        <v>0.1</v>
      </c>
      <c r="G26" s="68">
        <f>IF(E26="No aumenta",0,IF(E26="Pequeña",0.1,IF(E26="Moderada",0.4,IF(E26="Grande",0.9,IF(E26="Esencial",1,"-")))))</f>
        <v>0.4</v>
      </c>
      <c r="H26" s="68">
        <f>IF(F26="-","-",AVERAGE(F26:G26))</f>
        <v>0.25</v>
      </c>
      <c r="I26" s="69">
        <v>1167.4</v>
      </c>
      <c r="J26" s="70">
        <v>45</v>
      </c>
      <c r="K26" s="71">
        <f>IF(J26="-",0,I26*J26)</f>
        <v>52533.00000000001</v>
      </c>
      <c r="L26" s="72">
        <f>IF(H26="-","-",K26*H26)</f>
        <v>13133.250000000002</v>
      </c>
      <c r="M26" s="73">
        <f>IF($H26="-","-",(($K26/(-0.8+1)*((1/(1-$H26))^(-0.8+1)-1))))</f>
        <v>15556.030209086257</v>
      </c>
      <c r="N26" s="73">
        <f>IF($H26="-","-",(($K26/(-1.2+1)*((1/(1-$H26))^(-1.2+1)-1))))</f>
        <v>14686.253845724577</v>
      </c>
      <c r="O26" s="57"/>
    </row>
    <row r="27" spans="1:15" ht="42.75">
      <c r="A27" s="85" t="s">
        <v>112</v>
      </c>
      <c r="B27" s="85" t="s">
        <v>113</v>
      </c>
      <c r="C27" s="86" t="s">
        <v>114</v>
      </c>
      <c r="D27" s="87" t="s">
        <v>48</v>
      </c>
      <c r="E27" s="88" t="s">
        <v>62</v>
      </c>
      <c r="F27" s="89" t="s">
        <v>63</v>
      </c>
      <c r="G27" s="89" t="s">
        <v>63</v>
      </c>
      <c r="H27" s="89" t="s">
        <v>63</v>
      </c>
      <c r="I27" s="90">
        <v>1879.1</v>
      </c>
      <c r="J27" s="91">
        <v>1354</v>
      </c>
      <c r="K27" s="92">
        <f>IF(J27="-",0,I27*J27)</f>
        <v>2544301.4</v>
      </c>
      <c r="L27" s="93" t="str">
        <f>IF(H27="-","-",K27*H27)</f>
        <v>-</v>
      </c>
      <c r="M27" s="94" t="str">
        <f>IF($H27="-","-",(($K27/(-0.8+1)*((1/(1-$H27))^(-0.8+1)-1))))</f>
        <v>-</v>
      </c>
      <c r="N27" s="94" t="str">
        <f>IF($H27="-","-",(($K27/(-1.2+1)*((1/(1-$H27))^(-1.2+1)-1))))</f>
        <v>-</v>
      </c>
      <c r="O27" s="57"/>
    </row>
    <row r="28" spans="1:15" ht="16.5">
      <c r="A28" s="64" t="s">
        <v>118</v>
      </c>
      <c r="B28" s="64" t="s">
        <v>119</v>
      </c>
      <c r="C28" s="65" t="s">
        <v>120</v>
      </c>
      <c r="D28" s="66" t="s">
        <v>40</v>
      </c>
      <c r="E28" s="67" t="s">
        <v>68</v>
      </c>
      <c r="F28" s="68">
        <f>IF(E28="No aumenta",0,IF(E28="Pequeña",0,IF(E28="Moderada",0.1,IF(E28="Grande",0.4,IF(E28="Esencial",0.9,"-")))))</f>
        <v>0</v>
      </c>
      <c r="G28" s="68">
        <f>IF(E28="No aumenta",0,IF(E28="Pequeña",0.1,IF(E28="Moderada",0.4,IF(E28="Grande",0.9,IF(E28="Esencial",1,"-")))))</f>
        <v>0</v>
      </c>
      <c r="H28" s="68">
        <f>IF(F28="-","-",AVERAGE(F28:G28))</f>
        <v>0</v>
      </c>
      <c r="I28" s="69">
        <v>601</v>
      </c>
      <c r="J28" s="70">
        <f>16595+26</f>
        <v>16621</v>
      </c>
      <c r="K28" s="71">
        <f>IF(J28="-",0,I28*J28)</f>
        <v>9989221</v>
      </c>
      <c r="L28" s="72">
        <f>IF(H28="-","-",K28*H28)</f>
        <v>0</v>
      </c>
      <c r="M28" s="73">
        <f>IF($H28="-","-",(($K28/(-0.8+1)*((1/(1-$H28))^(-0.8+1)-1))))</f>
        <v>0</v>
      </c>
      <c r="N28" s="73">
        <f>IF($H28="-","-",(($K28/(-1.2+1)*((1/(1-$H28))^(-1.2+1)-1))))</f>
        <v>0</v>
      </c>
      <c r="O28" s="57"/>
    </row>
    <row r="29" spans="1:15" ht="16.5">
      <c r="A29" s="134" t="s">
        <v>134</v>
      </c>
      <c r="B29" s="134" t="s">
        <v>135</v>
      </c>
      <c r="C29" s="135" t="s">
        <v>136</v>
      </c>
      <c r="D29" s="95" t="s">
        <v>50</v>
      </c>
      <c r="E29" s="136" t="s">
        <v>68</v>
      </c>
      <c r="F29" s="137">
        <v>0</v>
      </c>
      <c r="G29" s="137">
        <v>0</v>
      </c>
      <c r="H29" s="137">
        <v>0</v>
      </c>
      <c r="I29" s="138">
        <v>761.9</v>
      </c>
      <c r="J29" s="139">
        <v>165</v>
      </c>
      <c r="K29" s="140">
        <f>IF(J29="-",0,I29*J29)</f>
        <v>125713.5</v>
      </c>
      <c r="L29" s="141">
        <f>IF(H29="-","-",K29*H29)</f>
        <v>0</v>
      </c>
      <c r="M29" s="142">
        <f>IF($H29="-","-",(($K29/(-0.8+1)*((1/(1-$H29))^(-0.8+1)-1))))</f>
        <v>0</v>
      </c>
      <c r="N29" s="142">
        <f>IF($H29="-","-",(($K29/(-1.2+1)*((1/(1-$H29))^(-1.2+1)-1))))</f>
        <v>0</v>
      </c>
      <c r="O29" s="57"/>
    </row>
    <row r="30" spans="1:15" ht="42.75">
      <c r="A30" s="85" t="s">
        <v>137</v>
      </c>
      <c r="B30" s="85" t="s">
        <v>138</v>
      </c>
      <c r="C30" s="86" t="s">
        <v>139</v>
      </c>
      <c r="D30" s="87" t="s">
        <v>48</v>
      </c>
      <c r="E30" s="88" t="s">
        <v>49</v>
      </c>
      <c r="F30" s="89" t="str">
        <f>IF(E30="No aumenta",0,IF(E30="Pequeña",0,IF(E30="Moderada",0.1,IF(E30="Grande",0.4,IF(E30="Esencial",0.9,"-")))))</f>
        <v>-</v>
      </c>
      <c r="G30" s="89" t="str">
        <f>IF(E30="No aumenta",0,IF(E30="Pequeña",0.1,IF(E30="Moderada",0.4,IF(E30="Grande",0.9,IF(E30="Esencial",1,"-")))))</f>
        <v>-</v>
      </c>
      <c r="H30" s="89" t="str">
        <f>IF(F30="-","-",AVERAGE(F30:G30))</f>
        <v>-</v>
      </c>
      <c r="I30" s="90">
        <v>300</v>
      </c>
      <c r="J30" s="91">
        <v>100</v>
      </c>
      <c r="K30" s="92">
        <f>IF(J30="-",0,I30*J30)</f>
        <v>30000</v>
      </c>
      <c r="L30" s="93" t="str">
        <f>IF(H30="-","-",K30*H30)</f>
        <v>-</v>
      </c>
      <c r="M30" s="94" t="str">
        <f>IF($H30="-","-",(($K30/(-0.8+1)*((1/(1-$H30))^(-0.8+1)-1))))</f>
        <v>-</v>
      </c>
      <c r="N30" s="94" t="str">
        <f>IF($H30="-","-",(($K30/(-1.2+1)*((1/(1-$H30))^(-1.2+1)-1))))</f>
        <v>-</v>
      </c>
      <c r="O30" s="57"/>
    </row>
    <row r="31" spans="1:15" ht="16.5">
      <c r="A31" s="119" t="s">
        <v>143</v>
      </c>
      <c r="B31" s="119" t="s">
        <v>144</v>
      </c>
      <c r="C31" s="120" t="s">
        <v>145</v>
      </c>
      <c r="D31" s="121" t="s">
        <v>36</v>
      </c>
      <c r="E31" s="122" t="s">
        <v>68</v>
      </c>
      <c r="F31" s="123">
        <v>0</v>
      </c>
      <c r="G31" s="123">
        <v>0</v>
      </c>
      <c r="H31" s="123">
        <v>0</v>
      </c>
      <c r="I31" s="124">
        <v>216.9</v>
      </c>
      <c r="J31" s="125">
        <v>74719</v>
      </c>
      <c r="K31" s="126">
        <f>IF(J31="-",0,I31*J31)</f>
        <v>16206551.1</v>
      </c>
      <c r="L31" s="127">
        <f>IF(H31="-","-",K31*H31)</f>
        <v>0</v>
      </c>
      <c r="M31" s="128">
        <f>IF($H31="-","-",(($K31/(-0.8+1)*((1/(1-$H31))^(-0.8+1)-1))))</f>
        <v>0</v>
      </c>
      <c r="N31" s="128">
        <f>IF($H31="-","-",(($K31/(-1.2+1)*((1/(1-$H31))^(-1.2+1)-1))))</f>
        <v>0</v>
      </c>
      <c r="O31" s="57"/>
    </row>
    <row r="32" spans="1:15" ht="16.5">
      <c r="A32" s="119" t="s">
        <v>149</v>
      </c>
      <c r="B32" s="119" t="s">
        <v>150</v>
      </c>
      <c r="C32" s="120" t="s">
        <v>151</v>
      </c>
      <c r="D32" s="121" t="s">
        <v>36</v>
      </c>
      <c r="E32" s="122" t="s">
        <v>68</v>
      </c>
      <c r="F32" s="123">
        <v>0</v>
      </c>
      <c r="G32" s="123">
        <v>0</v>
      </c>
      <c r="H32" s="123">
        <v>0</v>
      </c>
      <c r="I32" s="124">
        <v>181.5</v>
      </c>
      <c r="J32" s="125">
        <v>9003</v>
      </c>
      <c r="K32" s="126">
        <f>IF(J32="-",0,I32*J32)</f>
        <v>1634044.5</v>
      </c>
      <c r="L32" s="127">
        <f>IF(H32="-","-",K32*H32)</f>
        <v>0</v>
      </c>
      <c r="M32" s="128">
        <f>IF($H32="-","-",(($K32/(-0.8+1)*((1/(1-$H32))^(-0.8+1)-1))))</f>
        <v>0</v>
      </c>
      <c r="N32" s="128">
        <f>IF($H32="-","-",(($K32/(-1.2+1)*((1/(1-$H32))^(-1.2+1)-1))))</f>
        <v>0</v>
      </c>
      <c r="O32" s="57"/>
    </row>
    <row r="33" spans="1:15" ht="16.5">
      <c r="A33" s="174" t="s">
        <v>152</v>
      </c>
      <c r="B33" s="174" t="s">
        <v>153</v>
      </c>
      <c r="C33" s="175" t="s">
        <v>154</v>
      </c>
      <c r="D33" s="79" t="s">
        <v>44</v>
      </c>
      <c r="E33" s="176" t="s">
        <v>68</v>
      </c>
      <c r="F33" s="177">
        <f>IF(E33="No aumenta",0,IF(E33="Pequeña",0,IF(E33="Moderada",0.1,IF(E33="Grande",0.4,IF(E33="Esencial",0.9,"-")))))</f>
        <v>0</v>
      </c>
      <c r="G33" s="177">
        <f>IF(E33="No aumenta",0,IF(E33="Pequeña",0.1,IF(E33="Moderada",0.4,IF(E33="Grande",0.9,IF(E33="Esencial",1,"-")))))</f>
        <v>0</v>
      </c>
      <c r="H33" s="177">
        <f>IF(F33="-","-",AVERAGE(F33:G33))</f>
        <v>0</v>
      </c>
      <c r="I33" s="178">
        <v>396.6</v>
      </c>
      <c r="J33" s="179">
        <f>116+28663</f>
        <v>28779</v>
      </c>
      <c r="K33" s="180">
        <f>IF(J33="-",0,I33*J33)</f>
        <v>11413751.4</v>
      </c>
      <c r="L33" s="181">
        <f>IF(H33="-","-",K33*H33)</f>
        <v>0</v>
      </c>
      <c r="M33" s="182">
        <f>IF($H33="-","-",(($K33/(-0.8+1)*((1/(1-$H33))^(-0.8+1)-1))))</f>
        <v>0</v>
      </c>
      <c r="N33" s="182">
        <f>IF($H33="-","-",(($K33/(-1.2+1)*((1/(1-$H33))^(-1.2+1)-1))))</f>
        <v>0</v>
      </c>
      <c r="O33" s="57"/>
    </row>
    <row r="34" spans="1:15" ht="42.75">
      <c r="A34" s="85" t="s">
        <v>155</v>
      </c>
      <c r="B34" s="85" t="s">
        <v>156</v>
      </c>
      <c r="C34" s="86" t="s">
        <v>157</v>
      </c>
      <c r="D34" s="87" t="s">
        <v>48</v>
      </c>
      <c r="E34" s="88" t="s">
        <v>49</v>
      </c>
      <c r="F34" s="89" t="s">
        <v>63</v>
      </c>
      <c r="G34" s="89" t="s">
        <v>63</v>
      </c>
      <c r="H34" s="89" t="s">
        <v>63</v>
      </c>
      <c r="I34" s="90">
        <v>677.7</v>
      </c>
      <c r="J34" s="91">
        <v>12</v>
      </c>
      <c r="K34" s="92">
        <f>IF(J34="-",0,I34*J34)</f>
        <v>8132.400000000001</v>
      </c>
      <c r="L34" s="93" t="str">
        <f>IF(H34="-","-",K34*H34)</f>
        <v>-</v>
      </c>
      <c r="M34" s="94" t="str">
        <f>IF($H34="-","-",(($K34/(-0.8+1)*((1/(1-$H34))^(-0.8+1)-1))))</f>
        <v>-</v>
      </c>
      <c r="N34" s="94" t="str">
        <f>IF($H34="-","-",(($K34/(-1.2+1)*((1/(1-$H34))^(-1.2+1)-1))))</f>
        <v>-</v>
      </c>
      <c r="O34" s="57"/>
    </row>
    <row r="35" spans="1:15" ht="42.75">
      <c r="A35" s="85" t="s">
        <v>158</v>
      </c>
      <c r="B35" s="85" t="s">
        <v>159</v>
      </c>
      <c r="C35" s="86" t="s">
        <v>157</v>
      </c>
      <c r="D35" s="87" t="s">
        <v>48</v>
      </c>
      <c r="E35" s="88" t="s">
        <v>49</v>
      </c>
      <c r="F35" s="89" t="s">
        <v>63</v>
      </c>
      <c r="G35" s="89" t="s">
        <v>63</v>
      </c>
      <c r="H35" s="89" t="s">
        <v>63</v>
      </c>
      <c r="I35" s="90">
        <v>174.9</v>
      </c>
      <c r="J35" s="91">
        <v>400</v>
      </c>
      <c r="K35" s="92">
        <f>IF(J35="-",0,I35*J35)</f>
        <v>69960</v>
      </c>
      <c r="L35" s="93" t="str">
        <f>IF(H35="-","-",K35*H35)</f>
        <v>-</v>
      </c>
      <c r="M35" s="94" t="str">
        <f>IF($H35="-","-",(($K35/(-0.8+1)*((1/(1-$H35))^(-0.8+1)-1))))</f>
        <v>-</v>
      </c>
      <c r="N35" s="94" t="str">
        <f>IF($H35="-","-",(($K35/(-1.2+1)*((1/(1-$H35))^(-1.2+1)-1))))</f>
        <v>-</v>
      </c>
      <c r="O35" s="57"/>
    </row>
    <row r="36" spans="1:15" ht="56.25">
      <c r="A36" s="85" t="s">
        <v>163</v>
      </c>
      <c r="B36" s="85" t="s">
        <v>164</v>
      </c>
      <c r="C36" s="86" t="s">
        <v>165</v>
      </c>
      <c r="D36" s="87" t="s">
        <v>48</v>
      </c>
      <c r="E36" s="88" t="s">
        <v>130</v>
      </c>
      <c r="F36" s="89">
        <f>IF(E36="No aumenta",0,IF(E36="Pequeña",0,IF(E36="Moderada",0.1,IF(E36="Grande",0.4,IF(E36="Esencial",0.9,"-")))))</f>
        <v>0.9</v>
      </c>
      <c r="G36" s="89">
        <f>IF(E36="No aumenta",0,IF(E36="Pequeña",0.1,IF(E36="Moderada",0.4,IF(E36="Grande",0.9,IF(E36="Esencial",1,"-")))))</f>
        <v>1</v>
      </c>
      <c r="H36" s="89">
        <f>IF(F36="-","-",AVERAGE(F36:G36))</f>
        <v>0.95</v>
      </c>
      <c r="I36" s="90">
        <v>259.9</v>
      </c>
      <c r="J36" s="91">
        <v>2250</v>
      </c>
      <c r="K36" s="92">
        <f>IF(J36="-",0,I36*J36)</f>
        <v>584775</v>
      </c>
      <c r="L36" s="93">
        <f>IF(H36="-","-",K36*H36)</f>
        <v>555536.25</v>
      </c>
      <c r="M36" s="94">
        <f>IF($H36="-","-",(($K36/(-0.8+1)*((1/(1-$H36))^(-0.8+1)-1))))</f>
        <v>2399227.1591228796</v>
      </c>
      <c r="N36" s="94">
        <f>IF($H36="-","-",(($K36/(-1.2+1)*((1/(1-$H36))^(-1.2+1)-1))))</f>
        <v>1317848.1457204123</v>
      </c>
      <c r="O36" s="57"/>
    </row>
    <row r="37" spans="1:15" ht="42.75">
      <c r="A37" s="64" t="s">
        <v>166</v>
      </c>
      <c r="B37" s="64" t="s">
        <v>167</v>
      </c>
      <c r="C37" s="65" t="s">
        <v>168</v>
      </c>
      <c r="D37" s="66" t="s">
        <v>40</v>
      </c>
      <c r="E37" s="67" t="s">
        <v>35</v>
      </c>
      <c r="F37" s="68">
        <v>0.4</v>
      </c>
      <c r="G37" s="68">
        <v>0.9</v>
      </c>
      <c r="H37" s="68">
        <v>0.65</v>
      </c>
      <c r="I37" s="69">
        <v>532.1</v>
      </c>
      <c r="J37" s="70">
        <v>14</v>
      </c>
      <c r="K37" s="71">
        <f>IF(J37="-",0,I37*J37)</f>
        <v>7449.400000000001</v>
      </c>
      <c r="L37" s="72">
        <f>IF(H37="-","-",K37*H37)</f>
        <v>4842.110000000001</v>
      </c>
      <c r="M37" s="73">
        <f>IF($H37="-","-",(($K37/(-0.8+1)*((1/(1-$H37))^(-0.8+1)-1))))</f>
        <v>8702.172023730303</v>
      </c>
      <c r="N37" s="73">
        <f>IF($H37="-","-",(($K37/(-1.2+1)*((1/(1-$H37))^(-1.2+1)-1))))</f>
        <v>7054.094493813443</v>
      </c>
      <c r="O37" s="57"/>
    </row>
    <row r="38" spans="1:15" ht="16.5">
      <c r="A38" s="64" t="s">
        <v>169</v>
      </c>
      <c r="B38" s="64" t="s">
        <v>170</v>
      </c>
      <c r="C38" s="65" t="s">
        <v>171</v>
      </c>
      <c r="D38" s="66" t="s">
        <v>40</v>
      </c>
      <c r="E38" s="67" t="s">
        <v>35</v>
      </c>
      <c r="F38" s="68">
        <v>0.4</v>
      </c>
      <c r="G38" s="68">
        <v>0.9</v>
      </c>
      <c r="H38" s="68">
        <v>0.65</v>
      </c>
      <c r="I38" s="69">
        <v>427.4</v>
      </c>
      <c r="J38" s="70">
        <v>45</v>
      </c>
      <c r="K38" s="71">
        <f>IF(J38="-",0,I38*J38)</f>
        <v>19233</v>
      </c>
      <c r="L38" s="72">
        <f>IF(H38="-","-",K38*H38)</f>
        <v>12501.45</v>
      </c>
      <c r="M38" s="73">
        <f>IF($H38="-","-",(($K38/(-0.8+1)*((1/(1-$H38))^(-0.8+1)-1))))</f>
        <v>22467.43020007046</v>
      </c>
      <c r="N38" s="73">
        <f>IF($H38="-","-",(($K38/(-1.2+1)*((1/(1-$H38))^(-1.2+1)-1))))</f>
        <v>18212.392863789555</v>
      </c>
      <c r="O38" s="57"/>
    </row>
    <row r="39" spans="1:15" ht="29.25">
      <c r="A39" s="134" t="s">
        <v>172</v>
      </c>
      <c r="B39" s="134" t="s">
        <v>173</v>
      </c>
      <c r="C39" s="135" t="s">
        <v>174</v>
      </c>
      <c r="D39" s="95" t="s">
        <v>50</v>
      </c>
      <c r="E39" s="136" t="s">
        <v>68</v>
      </c>
      <c r="F39" s="137">
        <f>IF(E39="No aumenta",0,IF(E39="Pequeña",0,IF(E39="Moderada",0.1,IF(E39="Grande",0.4,IF(E39="Esencial",0.9,"-")))))</f>
        <v>0</v>
      </c>
      <c r="G39" s="137">
        <f>IF(E39="No aumenta",0,IF(E39="Pequeña",0.1,IF(E39="Moderada",0.4,IF(E39="Grande",0.9,IF(E39="Esencial",1,"-")))))</f>
        <v>0</v>
      </c>
      <c r="H39" s="137">
        <f>IF(F39="-","-",AVERAGE(F39:G39))</f>
        <v>0</v>
      </c>
      <c r="I39" s="138">
        <v>223.6</v>
      </c>
      <c r="J39" s="139">
        <v>6014</v>
      </c>
      <c r="K39" s="140">
        <f>IF(J39="-",0,I39*J39)</f>
        <v>1344730.4</v>
      </c>
      <c r="L39" s="141">
        <f>IF(H39="-","-",K39*H39)</f>
        <v>0</v>
      </c>
      <c r="M39" s="142">
        <f>IF($H39="-","-",(($K39/(-0.8+1)*((1/(1-$H39))^(-0.8+1)-1))))</f>
        <v>0</v>
      </c>
      <c r="N39" s="142">
        <f>IF($H39="-","-",(($K39/(-1.2+1)*((1/(1-$H39))^(-1.2+1)-1))))</f>
        <v>0</v>
      </c>
      <c r="O39" s="57"/>
    </row>
    <row r="40" spans="1:15" ht="29.25">
      <c r="A40" s="64" t="s">
        <v>177</v>
      </c>
      <c r="B40" s="64" t="s">
        <v>178</v>
      </c>
      <c r="C40" s="65" t="s">
        <v>179</v>
      </c>
      <c r="D40" s="66" t="s">
        <v>40</v>
      </c>
      <c r="E40" s="67" t="s">
        <v>35</v>
      </c>
      <c r="F40" s="68">
        <v>0.4</v>
      </c>
      <c r="G40" s="68">
        <v>0.9</v>
      </c>
      <c r="H40" s="68">
        <v>0.65</v>
      </c>
      <c r="I40" s="69">
        <v>471.3</v>
      </c>
      <c r="J40" s="70">
        <v>137</v>
      </c>
      <c r="K40" s="71">
        <f>IF(J40="-",0,I40*J40)</f>
        <v>64568.1</v>
      </c>
      <c r="L40" s="72">
        <f>IF(H40="-","-",K40*H40)</f>
        <v>41969.265</v>
      </c>
      <c r="M40" s="73">
        <f>IF($H40="-","-",(($K40/(-0.8+1)*((1/(1-$H40))^(-0.8+1)-1))))</f>
        <v>75426.57307238442</v>
      </c>
      <c r="N40" s="73">
        <f>IF($H40="-","-",(($K40/(-1.2+1)*((1/(1-$H40))^(-1.2+1)-1))))</f>
        <v>61141.7669457937</v>
      </c>
      <c r="O40" s="57"/>
    </row>
    <row r="41" spans="1:15" ht="42.75">
      <c r="A41" s="183" t="s">
        <v>180</v>
      </c>
      <c r="B41" s="183" t="s">
        <v>181</v>
      </c>
      <c r="C41" s="184" t="s">
        <v>182</v>
      </c>
      <c r="D41" s="101" t="s">
        <v>54</v>
      </c>
      <c r="E41" s="185" t="s">
        <v>62</v>
      </c>
      <c r="F41" s="186" t="s">
        <v>63</v>
      </c>
      <c r="G41" s="186" t="s">
        <v>63</v>
      </c>
      <c r="H41" s="186" t="s">
        <v>63</v>
      </c>
      <c r="I41" s="187">
        <v>212.7</v>
      </c>
      <c r="J41" s="188">
        <v>3366</v>
      </c>
      <c r="K41" s="189">
        <f>IF(J41="-",0,I41*J41)</f>
        <v>715948.2</v>
      </c>
      <c r="L41" s="190" t="str">
        <f>IF(H41="-","-",K41*H41)</f>
        <v>-</v>
      </c>
      <c r="M41" s="191" t="str">
        <f>IF($H41="-","-",(($K41/(-0.8+1)*((1/(1-$H41))^(-0.8+1)-1))))</f>
        <v>-</v>
      </c>
      <c r="N41" s="191" t="str">
        <f>IF($H41="-","-",(($K41/(-1.2+1)*((1/(1-$H41))^(-1.2+1)-1))))</f>
        <v>-</v>
      </c>
      <c r="O41" s="57"/>
    </row>
    <row r="42" spans="1:15" ht="42.75">
      <c r="A42" s="85" t="s">
        <v>251</v>
      </c>
      <c r="B42" s="85" t="s">
        <v>184</v>
      </c>
      <c r="C42" s="86" t="s">
        <v>185</v>
      </c>
      <c r="D42" s="87" t="s">
        <v>48</v>
      </c>
      <c r="E42" s="88" t="s">
        <v>130</v>
      </c>
      <c r="F42" s="89">
        <f>IF(E42="No aumenta",0,IF(E42="Pequeña",0,IF(E42="Moderada",0.1,IF(E42="Grande",0.4,IF(E42="Esencial",0.9,"-")))))</f>
        <v>0.9</v>
      </c>
      <c r="G42" s="89">
        <f>IF(E42="No aumenta",0,IF(E42="Pequeña",0.1,IF(E42="Moderada",0.4,IF(E42="Grande",0.9,IF(E42="Esencial",1,"-")))))</f>
        <v>1</v>
      </c>
      <c r="H42" s="89">
        <f>IF(F42="-","-",AVERAGE(F42:G42))</f>
        <v>0.95</v>
      </c>
      <c r="I42" s="90">
        <v>333.5</v>
      </c>
      <c r="J42" s="91">
        <f>80+840</f>
        <v>920</v>
      </c>
      <c r="K42" s="92">
        <f>IF(J42="-",0,I42*J42)</f>
        <v>306820</v>
      </c>
      <c r="L42" s="93">
        <f>IF(H42="-","-",K42*H42)</f>
        <v>291479</v>
      </c>
      <c r="M42" s="94">
        <f>IF($H42="-","-",(($K42/(-0.8+1)*((1/(1-$H42))^(-0.8+1)-1))))</f>
        <v>1258827.5438623093</v>
      </c>
      <c r="N42" s="94">
        <f>IF($H42="-","-",(($K42/(-1.2+1)*((1/(1-$H42))^(-1.2+1)-1))))</f>
        <v>691449.1352570422</v>
      </c>
      <c r="O42" s="57"/>
    </row>
    <row r="43" spans="1:15" ht="16.5">
      <c r="A43" s="64" t="s">
        <v>186</v>
      </c>
      <c r="B43" s="64" t="s">
        <v>187</v>
      </c>
      <c r="C43" s="192" t="s">
        <v>188</v>
      </c>
      <c r="D43" s="66" t="s">
        <v>40</v>
      </c>
      <c r="E43" s="67" t="s">
        <v>35</v>
      </c>
      <c r="F43" s="68">
        <v>0.4</v>
      </c>
      <c r="G43" s="68">
        <v>0.9</v>
      </c>
      <c r="H43" s="68">
        <v>0.65</v>
      </c>
      <c r="I43" s="69">
        <v>316.1</v>
      </c>
      <c r="J43" s="70">
        <v>6</v>
      </c>
      <c r="K43" s="71">
        <f>IF(J43="-",0,I43*J43)</f>
        <v>1896.6000000000001</v>
      </c>
      <c r="L43" s="72">
        <f>IF(H43="-","-",K43*H43)</f>
        <v>1232.7900000000002</v>
      </c>
      <c r="M43" s="73">
        <f>IF($H43="-","-",(($K43/(-0.8+1)*((1/(1-$H43))^(-0.8+1)-1))))</f>
        <v>2215.5528579760644</v>
      </c>
      <c r="N43" s="73">
        <f>IF($H43="-","-",(($K43/(-1.2+1)*((1/(1-$H43))^(-1.2+1)-1))))</f>
        <v>1795.9561329726655</v>
      </c>
      <c r="O43" s="57"/>
    </row>
    <row r="44" spans="1:15" ht="16.5">
      <c r="A44" s="119" t="s">
        <v>198</v>
      </c>
      <c r="B44" s="119" t="s">
        <v>199</v>
      </c>
      <c r="C44" s="120" t="s">
        <v>200</v>
      </c>
      <c r="D44" s="121" t="s">
        <v>36</v>
      </c>
      <c r="E44" s="122" t="s">
        <v>68</v>
      </c>
      <c r="F44" s="123">
        <f>IF(E44="No aumenta",0,IF(E44="Pequeña",0,IF(E44="Moderada",0.1,IF(E44="Grande",0.4,IF(E44="Esencial",0.9,"-")))))</f>
        <v>0</v>
      </c>
      <c r="G44" s="123">
        <f>IF(E44="No aumenta",0,IF(E44="Pequeña",0.1,IF(E44="Moderada",0.4,IF(E44="Grande",0.9,IF(E44="Esencial",1,"-")))))</f>
        <v>0</v>
      </c>
      <c r="H44" s="123">
        <f>IF(F44="-","-",AVERAGE(F44:G44))</f>
        <v>0</v>
      </c>
      <c r="I44" s="124">
        <v>183.6</v>
      </c>
      <c r="J44" s="125">
        <v>3501</v>
      </c>
      <c r="K44" s="126">
        <f>IF(J44="-",0,I44*J44)</f>
        <v>642783.6</v>
      </c>
      <c r="L44" s="127">
        <f>IF(H44="-","-",K44*H44)</f>
        <v>0</v>
      </c>
      <c r="M44" s="128">
        <f>IF($H44="-","-",(($K44/(-0.8+1)*((1/(1-$H44))^(-0.8+1)-1))))</f>
        <v>0</v>
      </c>
      <c r="N44" s="128">
        <f>IF($H44="-","-",(($K44/(-1.2+1)*((1/(1-$H44))^(-1.2+1)-1))))</f>
        <v>0</v>
      </c>
      <c r="O44" s="57"/>
    </row>
    <row r="45" spans="1:15" ht="16.5">
      <c r="A45" s="174" t="s">
        <v>201</v>
      </c>
      <c r="B45" s="174" t="s">
        <v>202</v>
      </c>
      <c r="C45" s="195" t="s">
        <v>203</v>
      </c>
      <c r="D45" s="196" t="s">
        <v>44</v>
      </c>
      <c r="E45" s="177" t="s">
        <v>72</v>
      </c>
      <c r="F45" s="177">
        <v>0</v>
      </c>
      <c r="G45" s="177">
        <v>0.1</v>
      </c>
      <c r="H45" s="177">
        <v>0.05</v>
      </c>
      <c r="I45" s="178">
        <v>311.7</v>
      </c>
      <c r="J45" s="179">
        <v>54</v>
      </c>
      <c r="K45" s="180">
        <f>IF(J45="-",0,I45*J45)</f>
        <v>16831.8</v>
      </c>
      <c r="L45" s="181">
        <f>IF(H45="-","-",K45*H45)</f>
        <v>841.59</v>
      </c>
      <c r="M45" s="182">
        <f>IF($H45="-","-",(($K45/(-0.8+1)*((1/(1-$H45))^(-0.8+1)-1))))</f>
        <v>867.8021047381835</v>
      </c>
      <c r="N45" s="182">
        <f>IF($H45="-","-",(($K45/(-1.2+1)*((1/(1-$H45))^(-1.2+1)-1))))</f>
        <v>858.9451270047346</v>
      </c>
      <c r="O45" s="57"/>
    </row>
    <row r="46" spans="1:15" ht="16.5">
      <c r="A46" s="64" t="s">
        <v>216</v>
      </c>
      <c r="B46" s="64" t="s">
        <v>217</v>
      </c>
      <c r="C46" s="65" t="s">
        <v>218</v>
      </c>
      <c r="D46" s="66" t="s">
        <v>40</v>
      </c>
      <c r="E46" s="67" t="s">
        <v>79</v>
      </c>
      <c r="F46" s="68">
        <f>IF(E46="No aumenta",0,IF(E46="Pequeña",0,IF(E46="Moderada",0.1,IF(E46="Grande",0.4,IF(E46="Esencial",0.9,"-")))))</f>
        <v>0.1</v>
      </c>
      <c r="G46" s="68">
        <f>IF(E46="No aumenta",0,IF(E46="Pequeña",0.1,IF(E46="Moderada",0.4,IF(E46="Grande",0.9,IF(E46="Esencial",1,"-")))))</f>
        <v>0.4</v>
      </c>
      <c r="H46" s="68">
        <f>IF(F46="-","-",AVERAGE(F46:G46))</f>
        <v>0.25</v>
      </c>
      <c r="I46" s="69">
        <v>1310.8</v>
      </c>
      <c r="J46" s="70">
        <v>120</v>
      </c>
      <c r="K46" s="71">
        <f>IF(J46="-",0,I46*J46)</f>
        <v>157296</v>
      </c>
      <c r="L46" s="72">
        <f>IF(H46="-","-",K46*H46)</f>
        <v>39324</v>
      </c>
      <c r="M46" s="73">
        <f>IF($H46="-","-",(($K46/(-0.8+1)*((1/(1-$H46))^(-0.8+1)-1))))</f>
        <v>46578.36650806981</v>
      </c>
      <c r="N46" s="73">
        <f>IF($H46="-","-",(($K46/(-1.2+1)*((1/(1-$H46))^(-1.2+1)-1))))</f>
        <v>43974.054116785504</v>
      </c>
      <c r="O46" s="57"/>
    </row>
    <row r="47" spans="1:15" ht="29.25">
      <c r="A47" s="174" t="s">
        <v>222</v>
      </c>
      <c r="B47" s="174" t="s">
        <v>223</v>
      </c>
      <c r="C47" s="175" t="s">
        <v>224</v>
      </c>
      <c r="D47" s="79" t="s">
        <v>44</v>
      </c>
      <c r="E47" s="176" t="s">
        <v>79</v>
      </c>
      <c r="F47" s="177">
        <v>0.1</v>
      </c>
      <c r="G47" s="177">
        <v>0.4</v>
      </c>
      <c r="H47" s="177">
        <v>0.25</v>
      </c>
      <c r="I47" s="178">
        <v>380.1</v>
      </c>
      <c r="J47" s="179">
        <v>432</v>
      </c>
      <c r="K47" s="180">
        <f>IF(J47="-",0,I47*J47)</f>
        <v>164203.2</v>
      </c>
      <c r="L47" s="181">
        <f>IF(H47="-","-",K47*H47)</f>
        <v>41050.8</v>
      </c>
      <c r="M47" s="182">
        <f>IF($H47="-","-",(($K47/(-0.8+1)*((1/(1-$H47))^(-0.8+1)-1))))</f>
        <v>48623.72108253159</v>
      </c>
      <c r="N47" s="182">
        <f>IF($H47="-","-",(($K47/(-1.2+1)*((1/(1-$H47))^(-1.2+1)-1))))</f>
        <v>45905.047826704766</v>
      </c>
      <c r="O47" s="57"/>
    </row>
    <row r="48" spans="1:15" ht="16.5">
      <c r="A48" s="85" t="s">
        <v>231</v>
      </c>
      <c r="B48" s="85" t="s">
        <v>232</v>
      </c>
      <c r="C48" s="86" t="s">
        <v>233</v>
      </c>
      <c r="D48" s="87" t="s">
        <v>48</v>
      </c>
      <c r="E48" s="88" t="s">
        <v>72</v>
      </c>
      <c r="F48" s="89">
        <v>0</v>
      </c>
      <c r="G48" s="89">
        <v>0.1</v>
      </c>
      <c r="H48" s="89">
        <v>0.05</v>
      </c>
      <c r="I48" s="90">
        <v>440.6</v>
      </c>
      <c r="J48" s="91">
        <v>2775</v>
      </c>
      <c r="K48" s="92">
        <f>IF(J48="-",0,I48*J48)</f>
        <v>1222665</v>
      </c>
      <c r="L48" s="93">
        <f>IF(H48="-","-",K48*H48)</f>
        <v>61133.25</v>
      </c>
      <c r="M48" s="94">
        <f>IF($H48="-","-",(($K48/(-0.8+1)*((1/(1-$H48))^(-0.8+1)-1))))</f>
        <v>63037.30203482165</v>
      </c>
      <c r="N48" s="94">
        <f>IF($H48="-","-",(($K48/(-1.2+1)*((1/(1-$H48))^(-1.2+1)-1))))</f>
        <v>62393.929568391</v>
      </c>
      <c r="O48" s="57"/>
    </row>
    <row r="49" spans="1:15" ht="29.25">
      <c r="A49" s="47" t="s">
        <v>234</v>
      </c>
      <c r="B49" s="47" t="s">
        <v>235</v>
      </c>
      <c r="C49" s="48" t="s">
        <v>236</v>
      </c>
      <c r="D49" s="49" t="s">
        <v>34</v>
      </c>
      <c r="E49" s="50" t="s">
        <v>68</v>
      </c>
      <c r="F49" s="51" t="s">
        <v>63</v>
      </c>
      <c r="G49" s="51" t="s">
        <v>63</v>
      </c>
      <c r="H49" s="51" t="s">
        <v>63</v>
      </c>
      <c r="I49" s="157">
        <v>2087.7</v>
      </c>
      <c r="J49" s="158">
        <v>22</v>
      </c>
      <c r="K49" s="54">
        <f>IF(J49="-",0,I49*J49)</f>
        <v>45929.399999999994</v>
      </c>
      <c r="L49" s="55" t="str">
        <f>IF(H49="-","-",K49*H49)</f>
        <v>-</v>
      </c>
      <c r="M49" s="56" t="str">
        <f>IF($H49="-","-",(($K49/(-0.8+1)*((1/(1-$H49))^(-0.8+1)-1))))</f>
        <v>-</v>
      </c>
      <c r="N49" s="56" t="str">
        <f>IF($H49="-","-",(($K49/(-1.2+1)*((1/(1-$H49))^(-1.2+1)-1))))</f>
        <v>-</v>
      </c>
      <c r="O49" s="57"/>
    </row>
    <row r="50" spans="1:15" ht="16.5">
      <c r="A50" s="85" t="s">
        <v>237</v>
      </c>
      <c r="B50" s="85" t="s">
        <v>238</v>
      </c>
      <c r="C50" s="86" t="s">
        <v>239</v>
      </c>
      <c r="D50" s="87" t="s">
        <v>48</v>
      </c>
      <c r="E50" s="88" t="s">
        <v>130</v>
      </c>
      <c r="F50" s="89">
        <v>0.9</v>
      </c>
      <c r="G50" s="89">
        <v>1</v>
      </c>
      <c r="H50" s="89">
        <v>0.95</v>
      </c>
      <c r="I50" s="90">
        <v>243.3</v>
      </c>
      <c r="J50" s="91">
        <v>3374</v>
      </c>
      <c r="K50" s="92">
        <f>IF(J50="-",0,I50*J50)</f>
        <v>820894.2000000001</v>
      </c>
      <c r="L50" s="93">
        <f>IF(H50="-","-",K50*H50)</f>
        <v>779849.49</v>
      </c>
      <c r="M50" s="94">
        <f>IF($H50="-","-",(($K50/(-0.8+1)*((1/(1-$H50))^(-0.8+1)-1))))</f>
        <v>3367981.9749586578</v>
      </c>
      <c r="N50" s="94">
        <f>IF($H50="-","-",(($K50/(-1.2+1)*((1/(1-$H50))^(-1.2+1)-1))))</f>
        <v>1849966.0541278978</v>
      </c>
      <c r="O50" s="57"/>
    </row>
    <row r="51" spans="1:15" ht="29.25">
      <c r="A51" s="119" t="s">
        <v>240</v>
      </c>
      <c r="B51" s="119" t="s">
        <v>241</v>
      </c>
      <c r="C51" s="120" t="s">
        <v>242</v>
      </c>
      <c r="D51" s="121" t="s">
        <v>36</v>
      </c>
      <c r="E51" s="122" t="s">
        <v>68</v>
      </c>
      <c r="F51" s="123">
        <v>0</v>
      </c>
      <c r="G51" s="123">
        <v>0</v>
      </c>
      <c r="H51" s="123">
        <v>0</v>
      </c>
      <c r="I51" s="124">
        <v>230.1</v>
      </c>
      <c r="J51" s="125">
        <v>65653</v>
      </c>
      <c r="K51" s="126">
        <f>IF(J51="-",0,I51*J51)</f>
        <v>15106755.299999999</v>
      </c>
      <c r="L51" s="127">
        <f>IF(H51="-","-",K51*H51)</f>
        <v>0</v>
      </c>
      <c r="M51" s="128">
        <f>IF($H51="-","-",(($K51/(-0.8+1)*((1/(1-$H51))^(-0.8+1)-1))))</f>
        <v>0</v>
      </c>
      <c r="N51" s="128">
        <f>IF($H51="-","-",(($K51/(-1.2+1)*((1/(1-$H51))^(-1.2+1)-1))))</f>
        <v>0</v>
      </c>
      <c r="O51" s="57"/>
    </row>
    <row r="52" spans="1:14" ht="16.5">
      <c r="A52" s="2"/>
      <c r="I52" s="205"/>
      <c r="J52" s="206"/>
      <c r="K52" s="207"/>
      <c r="L52" s="208"/>
      <c r="M52" s="209"/>
      <c r="N52" s="209"/>
    </row>
    <row r="53" spans="1:14" ht="30" customHeight="1">
      <c r="A53" s="210" t="s">
        <v>243</v>
      </c>
      <c r="B53" s="210" t="s">
        <v>248</v>
      </c>
      <c r="C53" s="210"/>
      <c r="D53" s="210"/>
      <c r="E53" s="210"/>
      <c r="F53" s="211">
        <f>AVERAGE(F9:F51)</f>
        <v>0.21250000000000002</v>
      </c>
      <c r="G53" s="211">
        <f>AVERAGE(G9:G51)</f>
        <v>0.42500000000000004</v>
      </c>
      <c r="H53" s="211">
        <f>AVERAGE(H9:H51)</f>
        <v>0.3187500000000001</v>
      </c>
      <c r="I53" s="212">
        <f>AVERAGE(I9:I51)</f>
        <v>635.4976744186046</v>
      </c>
      <c r="J53" s="213">
        <f>AVERAGE(J9:J51)</f>
        <v>8842.738095238095</v>
      </c>
      <c r="K53" s="214">
        <f>SUM(K9:K51)</f>
        <v>96339653.80000001</v>
      </c>
      <c r="L53" s="215">
        <f>SUM(L9:L51)</f>
        <v>4922808.585</v>
      </c>
      <c r="M53" s="216">
        <f>SUM(M9:M51)</f>
        <v>12819300.029960776</v>
      </c>
      <c r="N53" s="216">
        <f>SUM(N9:N51)</f>
        <v>8587788.664428717</v>
      </c>
    </row>
  </sheetData>
  <sheetProtection selectLockedCells="1" selectUnlockedCells="1"/>
  <mergeCells count="10">
    <mergeCell ref="A2:N2"/>
    <mergeCell ref="A3:N3"/>
    <mergeCell ref="P3:V3"/>
    <mergeCell ref="F4:H4"/>
    <mergeCell ref="I4:N4"/>
    <mergeCell ref="M5:N5"/>
    <mergeCell ref="U5:V5"/>
    <mergeCell ref="B6:D6"/>
    <mergeCell ref="E6:H6"/>
    <mergeCell ref="A53:E5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L60"/>
  <sheetViews>
    <sheetView zoomScale="90" zoomScaleNormal="90" workbookViewId="0" topLeftCell="A1">
      <selection activeCell="A9" sqref="A9:A63"/>
    </sheetView>
  </sheetViews>
  <sheetFormatPr defaultColWidth="11.00390625" defaultRowHeight="12.75"/>
  <cols>
    <col min="1" max="1" width="10.75390625" style="1" customWidth="1"/>
    <col min="2" max="2" width="14.00390625" style="2" customWidth="1"/>
    <col min="3" max="3" width="40.75390625" style="3" customWidth="1"/>
    <col min="4" max="4" width="12.75390625" style="1" customWidth="1"/>
    <col min="5" max="5" width="11.75390625" style="4" customWidth="1"/>
    <col min="6" max="8" width="10.75390625" style="4" customWidth="1"/>
    <col min="9" max="9" width="14.625" style="1" customWidth="1"/>
    <col min="10" max="10" width="14.00390625" style="1" customWidth="1"/>
    <col min="11" max="11" width="16.875" style="5" customWidth="1"/>
    <col min="12" max="12" width="15.75390625" style="6" customWidth="1"/>
    <col min="13" max="14" width="15.75390625" style="7" customWidth="1"/>
    <col min="15" max="15" width="10.75390625" style="1" customWidth="1"/>
    <col min="16" max="16" width="12.375" style="1" customWidth="1"/>
    <col min="17" max="17" width="14.125" style="1" customWidth="1"/>
    <col min="18" max="18" width="24.75390625" style="1" customWidth="1"/>
    <col min="19" max="19" width="21.25390625" style="1" customWidth="1"/>
    <col min="20" max="20" width="14.125" style="1" customWidth="1"/>
    <col min="21" max="22" width="18.75390625" style="1" customWidth="1"/>
    <col min="23" max="245" width="10.75390625" style="1" customWidth="1"/>
    <col min="246" max="16384" width="10.75390625" style="0" customWidth="1"/>
  </cols>
  <sheetData>
    <row r="1" spans="2:14" s="8" customFormat="1" ht="12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36.75" customHeight="1">
      <c r="A2" s="248" t="s">
        <v>282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22" s="11" customFormat="1" ht="60.75" customHeight="1">
      <c r="A3" s="248" t="s">
        <v>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P3" s="12" t="s">
        <v>2</v>
      </c>
      <c r="Q3" s="12"/>
      <c r="R3" s="12"/>
      <c r="S3" s="12"/>
      <c r="T3" s="12"/>
      <c r="U3" s="12"/>
      <c r="V3" s="12"/>
    </row>
    <row r="4" spans="6:246" ht="61.5" customHeight="1">
      <c r="F4" s="13" t="s">
        <v>3</v>
      </c>
      <c r="G4" s="13"/>
      <c r="H4" s="13"/>
      <c r="I4" s="14" t="s">
        <v>4</v>
      </c>
      <c r="J4" s="14"/>
      <c r="K4" s="14"/>
      <c r="L4" s="14"/>
      <c r="M4" s="14"/>
      <c r="N4" s="14"/>
      <c r="IL4" s="1"/>
    </row>
    <row r="5" spans="1:246" ht="78.75" customHeight="1">
      <c r="A5" s="15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8" t="s">
        <v>11</v>
      </c>
      <c r="H5" s="17" t="s">
        <v>12</v>
      </c>
      <c r="I5" s="19" t="s">
        <v>13</v>
      </c>
      <c r="J5" s="19" t="s">
        <v>14</v>
      </c>
      <c r="K5" s="20" t="s">
        <v>15</v>
      </c>
      <c r="L5" s="21" t="s">
        <v>16</v>
      </c>
      <c r="M5" s="22" t="s">
        <v>17</v>
      </c>
      <c r="N5" s="22"/>
      <c r="P5" s="16" t="s">
        <v>8</v>
      </c>
      <c r="Q5" s="23" t="s">
        <v>18</v>
      </c>
      <c r="R5" s="20" t="s">
        <v>15</v>
      </c>
      <c r="S5" s="21" t="s">
        <v>16</v>
      </c>
      <c r="T5" s="24" t="s">
        <v>19</v>
      </c>
      <c r="U5" s="22" t="s">
        <v>17</v>
      </c>
      <c r="V5" s="22"/>
      <c r="IL5" s="1"/>
    </row>
    <row r="6" spans="1:246" ht="47.25" customHeight="1">
      <c r="A6" s="25"/>
      <c r="B6" s="26" t="s">
        <v>20</v>
      </c>
      <c r="C6" s="26"/>
      <c r="D6" s="26"/>
      <c r="E6" s="27" t="s">
        <v>21</v>
      </c>
      <c r="F6" s="27"/>
      <c r="G6" s="27"/>
      <c r="H6" s="27"/>
      <c r="I6" s="28" t="s">
        <v>20</v>
      </c>
      <c r="J6" s="28" t="s">
        <v>22</v>
      </c>
      <c r="K6" s="29" t="s">
        <v>23</v>
      </c>
      <c r="L6" s="30" t="s">
        <v>24</v>
      </c>
      <c r="M6" s="31">
        <v>-0.8</v>
      </c>
      <c r="N6" s="31">
        <v>-1.2</v>
      </c>
      <c r="P6" s="32"/>
      <c r="Q6" s="33" t="s">
        <v>25</v>
      </c>
      <c r="R6" s="29" t="s">
        <v>23</v>
      </c>
      <c r="S6" s="30" t="s">
        <v>26</v>
      </c>
      <c r="T6" s="34" t="s">
        <v>27</v>
      </c>
      <c r="U6" s="31">
        <v>-0.8</v>
      </c>
      <c r="V6" s="31">
        <v>-1.2</v>
      </c>
      <c r="IL6" s="1"/>
    </row>
    <row r="7" spans="2:246" ht="27.75" customHeight="1">
      <c r="B7" s="35"/>
      <c r="C7" s="36"/>
      <c r="D7" s="37"/>
      <c r="E7" s="38"/>
      <c r="F7" s="39"/>
      <c r="G7" s="39"/>
      <c r="H7" s="39"/>
      <c r="I7" s="19" t="s">
        <v>28</v>
      </c>
      <c r="J7" s="19" t="s">
        <v>29</v>
      </c>
      <c r="K7" s="40" t="s">
        <v>30</v>
      </c>
      <c r="L7" s="41" t="s">
        <v>30</v>
      </c>
      <c r="M7" s="42" t="s">
        <v>30</v>
      </c>
      <c r="N7" s="42" t="s">
        <v>30</v>
      </c>
      <c r="P7" s="43"/>
      <c r="Q7" s="19"/>
      <c r="R7" s="40"/>
      <c r="S7" s="41"/>
      <c r="T7" s="44"/>
      <c r="U7" s="42"/>
      <c r="V7" s="42"/>
      <c r="IL7" s="1"/>
    </row>
    <row r="8" spans="2:246" ht="16.5">
      <c r="B8" s="35"/>
      <c r="C8" s="36"/>
      <c r="D8" s="37"/>
      <c r="E8" s="38"/>
      <c r="F8" s="39"/>
      <c r="G8" s="39"/>
      <c r="H8" s="39"/>
      <c r="I8" s="19"/>
      <c r="J8" s="19"/>
      <c r="K8" s="40"/>
      <c r="L8" s="41"/>
      <c r="M8" s="42"/>
      <c r="N8" s="42"/>
      <c r="P8" s="43"/>
      <c r="Q8" s="43"/>
      <c r="R8" s="40"/>
      <c r="S8" s="45"/>
      <c r="T8" s="44"/>
      <c r="U8" s="46"/>
      <c r="V8" s="46"/>
      <c r="IL8" s="1"/>
    </row>
    <row r="9" spans="1:22" ht="29.25">
      <c r="A9" s="47" t="s">
        <v>31</v>
      </c>
      <c r="B9" s="47" t="s">
        <v>32</v>
      </c>
      <c r="C9" s="48" t="s">
        <v>33</v>
      </c>
      <c r="D9" s="49" t="s">
        <v>34</v>
      </c>
      <c r="E9" s="50" t="s">
        <v>35</v>
      </c>
      <c r="F9" s="51">
        <v>0.4</v>
      </c>
      <c r="G9" s="51">
        <v>0.9</v>
      </c>
      <c r="H9" s="51">
        <v>0.65</v>
      </c>
      <c r="I9" s="52">
        <v>687.9</v>
      </c>
      <c r="J9" s="53">
        <v>31784</v>
      </c>
      <c r="K9" s="54">
        <f>IF(J9="-",0,I9*J9)</f>
        <v>21864213.599999998</v>
      </c>
      <c r="L9" s="55">
        <f>IF(H9="-","-",$K9*H9)</f>
        <v>14211738.84</v>
      </c>
      <c r="M9" s="56">
        <f>IF($H9="-","-",(($K9/(-0.8+1)*((1/(1-$H9))^(-0.8+1)-1))))</f>
        <v>25541137.26082417</v>
      </c>
      <c r="N9" s="56">
        <f>IF($H9="-","-",(($K9/(-1.2+1)*((1/(1-$H9))^(-1.2+1)-1))))</f>
        <v>20703980.020850126</v>
      </c>
      <c r="O9" s="57"/>
      <c r="P9" s="58" t="s">
        <v>36</v>
      </c>
      <c r="Q9" s="59">
        <f>SUMIF($D$9:$D$58,$P9,$K$9:$K$58)/SUMIF($D$9:$D$58,$P9,$J$9:$J$58)</f>
        <v>203.3038593866382</v>
      </c>
      <c r="R9" s="217">
        <f>SUMIF($D$9:$D$58,$P9,$K$9:$K$58)</f>
        <v>816932035.4</v>
      </c>
      <c r="S9" s="218">
        <f>SUMIF($D$9:$D$58,$P9,$L$9:$L$58)</f>
        <v>0</v>
      </c>
      <c r="T9" s="62">
        <f>IF(R9=0,"-",S9/R9)</f>
        <v>0</v>
      </c>
      <c r="U9" s="219">
        <f>SUMIF($D$9:$D$58,$P9,$M$9:$M$58)</f>
        <v>0</v>
      </c>
      <c r="V9" s="219">
        <f>SUMIF($D$9:$D$58,$P9,$N$9:$N$58)</f>
        <v>0</v>
      </c>
    </row>
    <row r="10" spans="1:22" ht="16.5">
      <c r="A10" s="64" t="s">
        <v>37</v>
      </c>
      <c r="B10" s="64" t="s">
        <v>38</v>
      </c>
      <c r="C10" s="65" t="s">
        <v>39</v>
      </c>
      <c r="D10" s="66" t="s">
        <v>40</v>
      </c>
      <c r="E10" s="67" t="s">
        <v>35</v>
      </c>
      <c r="F10" s="68">
        <v>0.4</v>
      </c>
      <c r="G10" s="68">
        <v>0.9</v>
      </c>
      <c r="H10" s="68">
        <v>0.65</v>
      </c>
      <c r="I10" s="69">
        <v>342.2</v>
      </c>
      <c r="J10" s="70">
        <v>5492</v>
      </c>
      <c r="K10" s="71">
        <f>IF(J10="-",0,I10*J10)</f>
        <v>1879362.4</v>
      </c>
      <c r="L10" s="72">
        <f>IF(H10="-","-",K10*H10)</f>
        <v>1221585.56</v>
      </c>
      <c r="M10" s="73">
        <f>IF($H10="-","-",(($K10/(-0.8+1)*((1/(1-$H10))^(-0.8+1)-1))))</f>
        <v>2195416.3959151926</v>
      </c>
      <c r="N10" s="73">
        <f>IF($H10="-","-",(($K10/(-1.2+1)*((1/(1-$H10))^(-1.2+1)-1))))</f>
        <v>1779633.2533787973</v>
      </c>
      <c r="O10" s="57"/>
      <c r="P10" s="66" t="s">
        <v>40</v>
      </c>
      <c r="Q10" s="74">
        <f>SUMIF($D$9:$D$58,$P10,$K$9:$K$58)/SUMIF($D$9:$D$58,$P10,$J$9:$J$58)</f>
        <v>600.8477169548016</v>
      </c>
      <c r="R10" s="220">
        <f>SUMIF($D$9:$D$58,$P10,$K$9:$K$58)</f>
        <v>1717487748.9</v>
      </c>
      <c r="S10" s="221">
        <f>SUMIF($D$9:$D$58,$P10,$L$9:$L$58)</f>
        <v>7021892.345000001</v>
      </c>
      <c r="T10" s="77">
        <f>IF(R10=0,"-",S10/R10)</f>
        <v>0.004088467210026572</v>
      </c>
      <c r="U10" s="222">
        <f>SUMIF($D$9:$D$58,$P10,$M$9:$M$58)</f>
        <v>12044921.440821804</v>
      </c>
      <c r="V10" s="222">
        <f>SUMIF($D$9:$D$58,$P10,$N$9:$N$58)</f>
        <v>9912067.167278573</v>
      </c>
    </row>
    <row r="11" spans="1:22" ht="29.25">
      <c r="A11" s="64" t="s">
        <v>41</v>
      </c>
      <c r="B11" s="64" t="s">
        <v>42</v>
      </c>
      <c r="C11" s="65" t="s">
        <v>43</v>
      </c>
      <c r="D11" s="66" t="s">
        <v>40</v>
      </c>
      <c r="E11" s="67" t="s">
        <v>35</v>
      </c>
      <c r="F11" s="68">
        <v>0.4</v>
      </c>
      <c r="G11" s="68">
        <v>0.9</v>
      </c>
      <c r="H11" s="68">
        <v>0.65</v>
      </c>
      <c r="I11" s="69">
        <v>745.8</v>
      </c>
      <c r="J11" s="70">
        <v>1593</v>
      </c>
      <c r="K11" s="71">
        <f>IF(J11="-",0,I11*J11)</f>
        <v>1188059.4</v>
      </c>
      <c r="L11" s="72">
        <f>IF(H11="-","-",K11*H11)</f>
        <v>772238.61</v>
      </c>
      <c r="M11" s="73">
        <f>IF($H11="-","-",(($K11/(-0.8+1)*((1/(1-$H11))^(-0.8+1)-1))))</f>
        <v>1387856.3740985594</v>
      </c>
      <c r="N11" s="73">
        <f>IF($H11="-","-",(($K11/(-1.2+1)*((1/(1-$H11))^(-1.2+1)-1))))</f>
        <v>1125014.5343065616</v>
      </c>
      <c r="O11" s="57"/>
      <c r="P11" s="79" t="s">
        <v>44</v>
      </c>
      <c r="Q11" s="80">
        <f>SUMIF($D$9:$D$58,$P11,$K$9:$K$58)/SUMIF($D$9:$D$58,$P11,$J$9:$J$58)</f>
        <v>391.47184426188505</v>
      </c>
      <c r="R11" s="223">
        <f>SUMIF($D$9:$D$58,$P11,$K$9:$K$58)</f>
        <v>273857651.90000004</v>
      </c>
      <c r="S11" s="224">
        <f>SUMIF($D$9:$D$58,$P11,$L$9:$L$58)</f>
        <v>16935781.175</v>
      </c>
      <c r="T11" s="83">
        <f>IF(R11=0,"-",S11/R11)</f>
        <v>0.061841548182061216</v>
      </c>
      <c r="U11" s="225">
        <f>SUMIF($D$9:$D$58,$P11,$M$9:$M$58)</f>
        <v>20054902.47381131</v>
      </c>
      <c r="V11" s="225">
        <f>SUMIF($D$9:$D$58,$P11,$N$9:$N$58)</f>
        <v>18935162.180483606</v>
      </c>
    </row>
    <row r="12" spans="1:22" ht="42.75">
      <c r="A12" s="85" t="s">
        <v>45</v>
      </c>
      <c r="B12" s="85" t="s">
        <v>46</v>
      </c>
      <c r="C12" s="86" t="s">
        <v>47</v>
      </c>
      <c r="D12" s="87" t="s">
        <v>48</v>
      </c>
      <c r="E12" s="88" t="s">
        <v>49</v>
      </c>
      <c r="F12" s="89" t="str">
        <f>IF(E12="No aumenta",0,IF(E12="Pequeña",0,IF(E12="Moderada",0.1,IF(E12="Grande",0.4,IF(E12="Esencial",0.9,"-")))))</f>
        <v>-</v>
      </c>
      <c r="G12" s="89" t="str">
        <f>IF(E12="No aumenta",0,IF(E12="Pequeña",0.1,IF(E12="Moderada",0.4,IF(E12="Grande",0.9,IF(E12="Esencial",1,"-")))))</f>
        <v>-</v>
      </c>
      <c r="H12" s="89" t="str">
        <f>IF(F12="-","-",AVERAGE(F12:G12))</f>
        <v>-</v>
      </c>
      <c r="I12" s="90">
        <v>661.2</v>
      </c>
      <c r="J12" s="91">
        <v>2427</v>
      </c>
      <c r="K12" s="92">
        <f>IF(J12="-",0,I12*J12)</f>
        <v>1604732.4000000001</v>
      </c>
      <c r="L12" s="93" t="str">
        <f>IF(H12="-","-",K12*H12)</f>
        <v>-</v>
      </c>
      <c r="M12" s="94" t="str">
        <f>IF($H12="-","-",(($K12/(-0.8+1)*((1/(1-$H12))^(-0.8+1)-1))))</f>
        <v>-</v>
      </c>
      <c r="N12" s="94" t="str">
        <f>IF($H12="-","-",(($K12/(-1.2+1)*((1/(1-$H12))^(-1.2+1)-1))))</f>
        <v>-</v>
      </c>
      <c r="O12" s="57"/>
      <c r="P12" s="95" t="s">
        <v>50</v>
      </c>
      <c r="Q12" s="96">
        <f>SUMIF($D$9:$D$58,$P12,$K$9:$K$58)/SUMIF($D$9:$D$58,$P12,$J$9:$J$58)</f>
        <v>317.1891808157192</v>
      </c>
      <c r="R12" s="226">
        <f>SUMIF($D$9:$D$58,$P12,$K$9:$K$58)</f>
        <v>31123236.8</v>
      </c>
      <c r="S12" s="227">
        <f>SUMIF($D$9:$D$58,$P12,$L$9:$L$58)</f>
        <v>21612.89</v>
      </c>
      <c r="T12" s="99">
        <f>IF(R12=0,"-",S12/R12)</f>
        <v>0.0006944293788877382</v>
      </c>
      <c r="U12" s="228">
        <f>SUMIF($D$9:$D$58,$P12,$M$9:$M$58)</f>
        <v>23919.48522680984</v>
      </c>
      <c r="V12" s="228">
        <f>SUMIF($D$9:$D$58,$P12,$N$9:$N$58)</f>
        <v>23098.622727564485</v>
      </c>
    </row>
    <row r="13" spans="1:22" ht="42.75">
      <c r="A13" s="85" t="s">
        <v>51</v>
      </c>
      <c r="B13" s="85" t="s">
        <v>52</v>
      </c>
      <c r="C13" s="86" t="s">
        <v>53</v>
      </c>
      <c r="D13" s="87" t="s">
        <v>48</v>
      </c>
      <c r="E13" s="88" t="s">
        <v>49</v>
      </c>
      <c r="F13" s="89" t="str">
        <f>IF(E13="No aumenta",0,IF(E13="Pequeña",0,IF(E13="Moderada",0.1,IF(E13="Grande",0.4,IF(E13="Esencial",0.9,"-")))))</f>
        <v>-</v>
      </c>
      <c r="G13" s="89" t="str">
        <f>IF(E13="No aumenta",0,IF(E13="Pequeña",0.1,IF(E13="Moderada",0.4,IF(E13="Grande",0.9,IF(E13="Esencial",1,"-")))))</f>
        <v>-</v>
      </c>
      <c r="H13" s="89" t="str">
        <f>IF(F13="-","-",AVERAGE(F13:G13))</f>
        <v>-</v>
      </c>
      <c r="I13" s="90">
        <v>1257.3</v>
      </c>
      <c r="J13" s="91">
        <v>1796</v>
      </c>
      <c r="K13" s="92">
        <f>IF(J13="-",0,I13*J13)</f>
        <v>2258110.8</v>
      </c>
      <c r="L13" s="93" t="str">
        <f>IF(H13="-","-",K13*H13)</f>
        <v>-</v>
      </c>
      <c r="M13" s="94" t="str">
        <f>IF($H13="-","-",(($K13/(-0.8+1)*((1/(1-$H13))^(-0.8+1)-1))))</f>
        <v>-</v>
      </c>
      <c r="N13" s="94" t="str">
        <f>IF($H13="-","-",(($K13/(-1.2+1)*((1/(1-$H13))^(-1.2+1)-1))))</f>
        <v>-</v>
      </c>
      <c r="O13" s="57"/>
      <c r="P13" s="101" t="s">
        <v>54</v>
      </c>
      <c r="Q13" s="102">
        <f>SUMIF($D$9:$D$58,$P13,$K$9:$K$58)/SUMIF($D$9:$D$58,$P13,$J$9:$J$58)</f>
        <v>212.7</v>
      </c>
      <c r="R13" s="229">
        <f>SUMIF($D$9:$D$58,$P13,$K$9:$K$58)</f>
        <v>21247666.5</v>
      </c>
      <c r="S13" s="230">
        <f>SUMIF($D$9:$D$58,$P13,$L$9:$L$58)</f>
        <v>0</v>
      </c>
      <c r="T13" s="105">
        <f>IF(R13=0,"-",S13/R13)</f>
        <v>0</v>
      </c>
      <c r="U13" s="231">
        <f>SUMIF($D$9:$D$58,$P13,$M$9:$M$58)</f>
        <v>0</v>
      </c>
      <c r="V13" s="231">
        <f>SUMIF($D$9:$D$58,$P13,$N$9:$N$58)</f>
        <v>0</v>
      </c>
    </row>
    <row r="14" spans="1:22" ht="16.5">
      <c r="A14" s="119" t="s">
        <v>65</v>
      </c>
      <c r="B14" s="119" t="s">
        <v>66</v>
      </c>
      <c r="C14" s="120" t="s">
        <v>67</v>
      </c>
      <c r="D14" s="121" t="s">
        <v>36</v>
      </c>
      <c r="E14" s="122" t="s">
        <v>68</v>
      </c>
      <c r="F14" s="123">
        <v>0</v>
      </c>
      <c r="G14" s="123">
        <v>0</v>
      </c>
      <c r="H14" s="123">
        <v>0</v>
      </c>
      <c r="I14" s="124">
        <v>194.8</v>
      </c>
      <c r="J14" s="125">
        <v>2383107</v>
      </c>
      <c r="K14" s="126">
        <f>IF(J14="-",0,I14*J14)</f>
        <v>464229243.6</v>
      </c>
      <c r="L14" s="127">
        <f>IF(H14="-","-",K14*H14)</f>
        <v>0</v>
      </c>
      <c r="M14" s="128">
        <f>IF($H14="-","-",(($K14/(-0.8+1)*((1/(1-$H14))^(-0.8+1)-1))))</f>
        <v>0</v>
      </c>
      <c r="N14" s="128">
        <f>IF($H14="-","-",(($K14/(-1.2+1)*((1/(1-$H14))^(-1.2+1)-1))))</f>
        <v>0</v>
      </c>
      <c r="O14" s="57"/>
      <c r="P14" s="107" t="s">
        <v>58</v>
      </c>
      <c r="Q14" s="108">
        <f>SUMIF($D$9:$D$58,$P14,$K$9:$K$58)/SUMIF($D$9:$D$58,$P14,$J$9:$J$58)</f>
        <v>3476.9</v>
      </c>
      <c r="R14" s="250">
        <f>SUMIF($D$9:$D$58,$P14,$K$9:$K$58)</f>
        <v>125168.40000000001</v>
      </c>
      <c r="S14" s="251">
        <f>SUMIF($D$9:$D$58,$P14,$L$9:$L$58)</f>
        <v>6258.420000000001</v>
      </c>
      <c r="T14" s="111">
        <f>IF(R14=0,"-",S14/R14)</f>
        <v>0.05</v>
      </c>
      <c r="U14" s="252">
        <f>SUMIF($D$9:$D$58,$P14,$M$9:$M$58)</f>
        <v>6453.34432245576</v>
      </c>
      <c r="V14" s="252">
        <f>SUMIF($D$9:$D$58,$P14,$N$9:$N$58)</f>
        <v>6387.480081451742</v>
      </c>
    </row>
    <row r="15" spans="1:22" ht="42.75">
      <c r="A15" s="134" t="s">
        <v>69</v>
      </c>
      <c r="B15" s="134" t="s">
        <v>70</v>
      </c>
      <c r="C15" s="135" t="s">
        <v>71</v>
      </c>
      <c r="D15" s="95" t="s">
        <v>50</v>
      </c>
      <c r="E15" s="136" t="s">
        <v>72</v>
      </c>
      <c r="F15" s="137">
        <v>0</v>
      </c>
      <c r="G15" s="137">
        <v>0.1</v>
      </c>
      <c r="H15" s="137">
        <v>0.05</v>
      </c>
      <c r="I15" s="138">
        <v>1857.6</v>
      </c>
      <c r="J15" s="139">
        <v>118</v>
      </c>
      <c r="K15" s="140">
        <f>IF(J15="-",0,I15*J15)</f>
        <v>219196.8</v>
      </c>
      <c r="L15" s="141">
        <f>IF(H15="-","-",K15*H15)</f>
        <v>10959.84</v>
      </c>
      <c r="M15" s="142">
        <f>IF($H15="-","-",(($K15/(-0.8+1)*((1/(1-$H15))^(-0.8+1)-1))))</f>
        <v>11301.19442910887</v>
      </c>
      <c r="N15" s="142">
        <f>IF($H15="-","-",(($K15/(-1.2+1)*((1/(1-$H15))^(-1.2+1)-1))))</f>
        <v>11185.851971567592</v>
      </c>
      <c r="O15" s="57"/>
      <c r="P15" s="49" t="s">
        <v>34</v>
      </c>
      <c r="Q15" s="129">
        <f>SUMIF($D$9:$D$58,$P15,$K$9:$K$58)/SUMIF($D$9:$D$58,$P15,$J$9:$J$58)</f>
        <v>747.8041048034934</v>
      </c>
      <c r="R15" s="232">
        <f>SUMIF($D$9:$D$58,$P15,$K$9:$K$58)</f>
        <v>24830835.299999997</v>
      </c>
      <c r="S15" s="233">
        <f>SUMIF($D$9:$D$58,$P15,$L$9:$L$58)</f>
        <v>14211738.84</v>
      </c>
      <c r="T15" s="132">
        <f>IF(R15=0,"-",S15/R15)</f>
        <v>0.5723423585351557</v>
      </c>
      <c r="U15" s="234">
        <f>SUMIF($D$9:$D$58,$P15,$M$9:$M$58)</f>
        <v>25541137.26082417</v>
      </c>
      <c r="V15" s="234">
        <f>SUMIF($D$9:$D$58,$P15,$N$9:$N$58)</f>
        <v>20703980.020850126</v>
      </c>
    </row>
    <row r="16" spans="1:22" ht="29.25">
      <c r="A16" s="85" t="s">
        <v>73</v>
      </c>
      <c r="B16" s="85" t="s">
        <v>74</v>
      </c>
      <c r="C16" s="86" t="s">
        <v>75</v>
      </c>
      <c r="D16" s="87" t="s">
        <v>48</v>
      </c>
      <c r="E16" s="88" t="s">
        <v>72</v>
      </c>
      <c r="F16" s="89">
        <v>0</v>
      </c>
      <c r="G16" s="89">
        <v>0.1</v>
      </c>
      <c r="H16" s="89">
        <v>0.05</v>
      </c>
      <c r="I16" s="90">
        <v>1536</v>
      </c>
      <c r="J16" s="91">
        <v>3035</v>
      </c>
      <c r="K16" s="92">
        <f>IF(J16="-",0,I16*J16)</f>
        <v>4661760</v>
      </c>
      <c r="L16" s="93">
        <f>IF(H16="-","-",K16*H16)</f>
        <v>233088</v>
      </c>
      <c r="M16" s="94">
        <f>IF($H16="-","-",(($K16/(-0.8+1)*((1/(1-$H16))^(-0.8+1)-1))))</f>
        <v>240347.74294990874</v>
      </c>
      <c r="N16" s="94">
        <f>IF($H16="-","-",(($K16/(-1.2+1)*((1/(1-$H16))^(-1.2+1)-1))))</f>
        <v>237894.70141432236</v>
      </c>
      <c r="O16" s="57"/>
      <c r="P16" s="87" t="s">
        <v>48</v>
      </c>
      <c r="Q16" s="143">
        <f>SUMIF($D$9:$D$58,$P16,$K$9:$K$58)/SUMIF($D$9:$D$58,$P16,$J$9:$J$58)</f>
        <v>355.69989868873773</v>
      </c>
      <c r="R16" s="235">
        <f>SUMIF($D$9:$D$58,$P16,$K$9:$K$58)</f>
        <v>608800651.4999999</v>
      </c>
      <c r="S16" s="236">
        <f>SUMIF($D$9:$D$58,$P16,$L$9:$L$58)</f>
        <v>110104189.00999999</v>
      </c>
      <c r="T16" s="146">
        <f>IF(R16=0,"-",S16/R16)</f>
        <v>0.18085425621460594</v>
      </c>
      <c r="U16" s="237">
        <f>SUMIF($D$9:$D$58,$P16,$M$9:$M$58)</f>
        <v>459489958.045116</v>
      </c>
      <c r="V16" s="237">
        <f>SUMIF($D$9:$D$58,$P16,$N$9:$N$58)</f>
        <v>254701752.30136222</v>
      </c>
    </row>
    <row r="17" spans="1:22" ht="42.75">
      <c r="A17" s="134" t="s">
        <v>254</v>
      </c>
      <c r="B17" s="134" t="s">
        <v>77</v>
      </c>
      <c r="C17" s="135" t="s">
        <v>78</v>
      </c>
      <c r="D17" s="95" t="s">
        <v>50</v>
      </c>
      <c r="E17" s="136" t="s">
        <v>79</v>
      </c>
      <c r="F17" s="137">
        <v>0.1</v>
      </c>
      <c r="G17" s="137">
        <v>0.4</v>
      </c>
      <c r="H17" s="137">
        <v>0.25</v>
      </c>
      <c r="I17" s="138">
        <v>256.7</v>
      </c>
      <c r="J17" s="139">
        <v>166</v>
      </c>
      <c r="K17" s="140">
        <f>IF(J17="-",0,I17*J17)</f>
        <v>42612.2</v>
      </c>
      <c r="L17" s="141">
        <f>IF(H17="-","-",K17*H17)</f>
        <v>10653.05</v>
      </c>
      <c r="M17" s="142">
        <f>IF($H17="-","-",(($K17/(-0.8+1)*((1/(1-$H17))^(-0.8+1)-1))))</f>
        <v>12618.290797700973</v>
      </c>
      <c r="N17" s="142">
        <f>IF($H17="-","-",(($K17/(-1.2+1)*((1/(1-$H17))^(-1.2+1)-1))))</f>
        <v>11912.770755996891</v>
      </c>
      <c r="O17" s="57"/>
      <c r="P17" s="57"/>
      <c r="Q17" s="57"/>
      <c r="R17" s="238"/>
      <c r="S17" s="239"/>
      <c r="T17" s="150"/>
      <c r="U17" s="240"/>
      <c r="V17" s="240"/>
    </row>
    <row r="18" spans="1:22" ht="42.75">
      <c r="A18" s="85" t="s">
        <v>81</v>
      </c>
      <c r="B18" s="85" t="s">
        <v>82</v>
      </c>
      <c r="C18" s="86" t="s">
        <v>83</v>
      </c>
      <c r="D18" s="87" t="s">
        <v>48</v>
      </c>
      <c r="E18" s="88" t="s">
        <v>49</v>
      </c>
      <c r="F18" s="89" t="str">
        <f>IF(E18="No aumenta",0,IF(E18="Pequeña",0,IF(E18="Moderada",0.1,IF(E18="Grande",0.4,IF(E18="Esencial",0.9,"-")))))</f>
        <v>-</v>
      </c>
      <c r="G18" s="89" t="str">
        <f>IF(E18="No aumenta",0,IF(E18="Pequeña",0.1,IF(E18="Moderada",0.4,IF(E18="Grande",0.9,IF(E18="Esencial",1,"-")))))</f>
        <v>-</v>
      </c>
      <c r="H18" s="89" t="str">
        <f>IF(F18="-","-",AVERAGE(F18:G18))</f>
        <v>-</v>
      </c>
      <c r="I18" s="90">
        <v>247</v>
      </c>
      <c r="J18" s="91">
        <v>11181</v>
      </c>
      <c r="K18" s="92">
        <f>IF(J18="-",0,I18*J18)</f>
        <v>2761707</v>
      </c>
      <c r="L18" s="93" t="str">
        <f>IF(H18="-","-",K18*H18)</f>
        <v>-</v>
      </c>
      <c r="M18" s="94" t="str">
        <f>IF($H18="-","-",(($K18/(-0.8+1)*((1/(1-$H18))^(-0.8+1)-1))))</f>
        <v>-</v>
      </c>
      <c r="N18" s="94" t="str">
        <f>IF($H18="-","-",(($K18/(-1.2+1)*((1/(1-$H18))^(-1.2+1)-1))))</f>
        <v>-</v>
      </c>
      <c r="O18" s="57"/>
      <c r="P18" s="152" t="s">
        <v>80</v>
      </c>
      <c r="Q18" s="152"/>
      <c r="R18" s="241">
        <f>SUM(R9:R16)</f>
        <v>3494404994.7000003</v>
      </c>
      <c r="S18" s="242">
        <f>SUM(S9:S16)</f>
        <v>148301472.67999998</v>
      </c>
      <c r="T18" s="155">
        <f>IF(R18=0,"-",S18/R18)</f>
        <v>0.04243969228092632</v>
      </c>
      <c r="U18" s="243">
        <f>SUM(U9:U16)</f>
        <v>517161292.05012256</v>
      </c>
      <c r="V18" s="243">
        <f>SUM(V9:V16)</f>
        <v>304282447.7727836</v>
      </c>
    </row>
    <row r="19" spans="1:15" ht="42.75">
      <c r="A19" s="85" t="s">
        <v>84</v>
      </c>
      <c r="B19" s="85" t="s">
        <v>85</v>
      </c>
      <c r="C19" s="86" t="s">
        <v>86</v>
      </c>
      <c r="D19" s="87" t="s">
        <v>48</v>
      </c>
      <c r="E19" s="88" t="s">
        <v>49</v>
      </c>
      <c r="F19" s="89" t="str">
        <f>IF(E19="No aumenta",0,IF(E19="Pequeña",0,IF(E19="Moderada",0.1,IF(E19="Grande",0.4,IF(E19="Esencial",0.9,"-")))))</f>
        <v>-</v>
      </c>
      <c r="G19" s="89" t="str">
        <f>IF(E19="No aumenta",0,IF(E19="Pequeña",0.1,IF(E19="Moderada",0.4,IF(E19="Grande",0.9,IF(E19="Esencial",1,"-")))))</f>
        <v>-</v>
      </c>
      <c r="H19" s="89" t="str">
        <f>IF(F19="-","-",AVERAGE(F19:G19))</f>
        <v>-</v>
      </c>
      <c r="I19" s="90">
        <v>283.4</v>
      </c>
      <c r="J19" s="91">
        <v>22789</v>
      </c>
      <c r="K19" s="92">
        <f>IF(J19="-",0,I19*J19)</f>
        <v>6458402.6</v>
      </c>
      <c r="L19" s="93" t="str">
        <f>IF(H19="-","-",K19*H19)</f>
        <v>-</v>
      </c>
      <c r="M19" s="94" t="str">
        <f>IF($H19="-","-",(($K19/(-0.8+1)*((1/(1-$H19))^(-0.8+1)-1))))</f>
        <v>-</v>
      </c>
      <c r="N19" s="94" t="str">
        <f>IF($H19="-","-",(($K19/(-1.2+1)*((1/(1-$H19))^(-1.2+1)-1))))</f>
        <v>-</v>
      </c>
      <c r="O19" s="57"/>
    </row>
    <row r="20" spans="1:15" ht="42.75">
      <c r="A20" s="85" t="s">
        <v>281</v>
      </c>
      <c r="B20" s="85" t="s">
        <v>88</v>
      </c>
      <c r="C20" s="86" t="s">
        <v>83</v>
      </c>
      <c r="D20" s="87" t="s">
        <v>48</v>
      </c>
      <c r="E20" s="88" t="s">
        <v>49</v>
      </c>
      <c r="F20" s="89" t="str">
        <f>IF(E20="No aumenta",0,IF(E20="Pequeña",0,IF(E20="Moderada",0.1,IF(E20="Grande",0.4,IF(E20="Esencial",0.9,"-")))))</f>
        <v>-</v>
      </c>
      <c r="G20" s="89" t="str">
        <f>IF(E20="No aumenta",0,IF(E20="Pequeña",0.1,IF(E20="Moderada",0.4,IF(E20="Grande",0.9,IF(E20="Esencial",1,"-")))))</f>
        <v>-</v>
      </c>
      <c r="H20" s="89" t="str">
        <f>IF(F20="-","-",AVERAGE(F20:G20))</f>
        <v>-</v>
      </c>
      <c r="I20" s="90">
        <v>325.3</v>
      </c>
      <c r="J20" s="91">
        <f>8335+26738</f>
        <v>35073</v>
      </c>
      <c r="K20" s="92">
        <f>IF(J20="-",0,I20*J20)</f>
        <v>11409246.9</v>
      </c>
      <c r="L20" s="93" t="str">
        <f>IF(H20="-","-",K20*H20)</f>
        <v>-</v>
      </c>
      <c r="M20" s="94" t="str">
        <f>IF($H20="-","-",(($K20/(-0.8+1)*((1/(1-$H20))^(-0.8+1)-1))))</f>
        <v>-</v>
      </c>
      <c r="N20" s="94" t="str">
        <f>IF($H20="-","-",(($K20/(-1.2+1)*((1/(1-$H20))^(-1.2+1)-1))))</f>
        <v>-</v>
      </c>
      <c r="O20" s="57"/>
    </row>
    <row r="21" spans="1:15" ht="29.25">
      <c r="A21" s="64" t="s">
        <v>246</v>
      </c>
      <c r="B21" s="64" t="s">
        <v>90</v>
      </c>
      <c r="C21" s="65" t="s">
        <v>91</v>
      </c>
      <c r="D21" s="66" t="s">
        <v>40</v>
      </c>
      <c r="E21" s="67" t="s">
        <v>35</v>
      </c>
      <c r="F21" s="68">
        <f>IF(E21="No aumenta",0,IF(E21="Pequeña",0,IF(E21="Moderada",0.1,IF(E21="Grande",0.4,IF(E21="Esencial",0.9,"-")))))</f>
        <v>0.4</v>
      </c>
      <c r="G21" s="68">
        <f>IF(E21="No aumenta",0,IF(E21="Pequeña",0.1,IF(E21="Moderada",0.4,IF(E21="Grande",0.9,IF(E21="Esencial",1,"-")))))</f>
        <v>0.9</v>
      </c>
      <c r="H21" s="68">
        <f>IF(F21="-","-",AVERAGE(F21:G21))</f>
        <v>0.65</v>
      </c>
      <c r="I21" s="69">
        <v>1344.2</v>
      </c>
      <c r="J21" s="70">
        <v>365</v>
      </c>
      <c r="K21" s="71">
        <f>IF(J21="-",0,I21*J21)</f>
        <v>490633</v>
      </c>
      <c r="L21" s="72">
        <f>IF(H21="-","-",K21*H21)</f>
        <v>318911.45</v>
      </c>
      <c r="M21" s="73">
        <f>IF($H21="-","-",(($K21/(-0.8+1)*((1/(1-$H21))^(-0.8+1)-1))))</f>
        <v>573143.1748219815</v>
      </c>
      <c r="N21" s="73">
        <f>IF($H21="-","-",(($K21/(-1.2+1)*((1/(1-$H21))^(-1.2+1)-1))))</f>
        <v>464597.3559995664</v>
      </c>
      <c r="O21" s="57"/>
    </row>
    <row r="22" spans="1:15" ht="16.5">
      <c r="A22" s="134" t="s">
        <v>95</v>
      </c>
      <c r="B22" s="134" t="s">
        <v>96</v>
      </c>
      <c r="C22" s="135" t="s">
        <v>97</v>
      </c>
      <c r="D22" s="95" t="s">
        <v>50</v>
      </c>
      <c r="E22" s="136" t="s">
        <v>68</v>
      </c>
      <c r="F22" s="137">
        <v>0</v>
      </c>
      <c r="G22" s="137">
        <v>0</v>
      </c>
      <c r="H22" s="137">
        <v>0</v>
      </c>
      <c r="I22" s="138">
        <v>652.7</v>
      </c>
      <c r="J22" s="139">
        <v>5284</v>
      </c>
      <c r="K22" s="140">
        <f>IF(J22="-",0,I22*J22)</f>
        <v>3448866.8000000003</v>
      </c>
      <c r="L22" s="141">
        <f>IF(H22="-","-",K22*H22)</f>
        <v>0</v>
      </c>
      <c r="M22" s="142">
        <f>IF($H22="-","-",(($K22/(-0.8+1)*((1/(1-$H22))^(-0.8+1)-1))))</f>
        <v>0</v>
      </c>
      <c r="N22" s="142">
        <f>IF($H22="-","-",(($K22/(-1.2+1)*((1/(1-$H22))^(-1.2+1)-1))))</f>
        <v>0</v>
      </c>
      <c r="O22" s="57"/>
    </row>
    <row r="23" spans="1:15" ht="42.75">
      <c r="A23" s="159" t="s">
        <v>98</v>
      </c>
      <c r="B23" s="159" t="s">
        <v>99</v>
      </c>
      <c r="C23" s="160" t="s">
        <v>100</v>
      </c>
      <c r="D23" s="161" t="s">
        <v>58</v>
      </c>
      <c r="E23" s="162" t="s">
        <v>72</v>
      </c>
      <c r="F23" s="163">
        <v>0</v>
      </c>
      <c r="G23" s="163">
        <v>0.1</v>
      </c>
      <c r="H23" s="163">
        <v>0.05</v>
      </c>
      <c r="I23" s="164">
        <v>3476.9</v>
      </c>
      <c r="J23" s="165">
        <v>36</v>
      </c>
      <c r="K23" s="166">
        <f>IF(J23="-",0,I23*J23)</f>
        <v>125168.40000000001</v>
      </c>
      <c r="L23" s="167">
        <f>IF(H23="-","-",K23*H23)</f>
        <v>6258.420000000001</v>
      </c>
      <c r="M23" s="168">
        <f>IF($H23="-","-",(($K23/(-0.8+1)*((1/(1-$H23))^(-0.8+1)-1))))</f>
        <v>6453.34432245576</v>
      </c>
      <c r="N23" s="168">
        <f>IF($H23="-","-",(($K23/(-1.2+1)*((1/(1-$H23))^(-1.2+1)-1))))</f>
        <v>6387.480081451742</v>
      </c>
      <c r="O23" s="57"/>
    </row>
    <row r="24" spans="1:15" ht="29.25">
      <c r="A24" s="85" t="s">
        <v>101</v>
      </c>
      <c r="B24" s="85" t="s">
        <v>102</v>
      </c>
      <c r="C24" s="86" t="s">
        <v>100</v>
      </c>
      <c r="D24" s="87" t="s">
        <v>48</v>
      </c>
      <c r="E24" s="88" t="s">
        <v>72</v>
      </c>
      <c r="F24" s="89">
        <v>0</v>
      </c>
      <c r="G24" s="89">
        <v>0.1</v>
      </c>
      <c r="H24" s="89">
        <v>0.05</v>
      </c>
      <c r="I24" s="90">
        <v>708.5</v>
      </c>
      <c r="J24" s="91">
        <v>46563</v>
      </c>
      <c r="K24" s="92">
        <f>IF(J24="-",0,I24*J24)</f>
        <v>32989885.5</v>
      </c>
      <c r="L24" s="93">
        <f>IF(H24="-","-",K24*H24)</f>
        <v>1649494.2750000001</v>
      </c>
      <c r="M24" s="94">
        <f>IF($H24="-","-",(($K24/(-0.8+1)*((1/(1-$H24))^(-0.8+1)-1))))</f>
        <v>1700869.3111830987</v>
      </c>
      <c r="N24" s="94">
        <f>IF($H24="-","-",(($K24/(-1.2+1)*((1/(1-$H24))^(-1.2+1)-1))))</f>
        <v>1683509.8676712622</v>
      </c>
      <c r="O24" s="57"/>
    </row>
    <row r="25" spans="1:15" ht="29.25">
      <c r="A25" s="85" t="s">
        <v>103</v>
      </c>
      <c r="B25" s="85" t="s">
        <v>104</v>
      </c>
      <c r="C25" s="86" t="s">
        <v>105</v>
      </c>
      <c r="D25" s="87" t="s">
        <v>48</v>
      </c>
      <c r="E25" s="88" t="s">
        <v>35</v>
      </c>
      <c r="F25" s="89">
        <v>0.4</v>
      </c>
      <c r="G25" s="89">
        <v>0.9</v>
      </c>
      <c r="H25" s="89">
        <v>0.65</v>
      </c>
      <c r="I25" s="90">
        <v>371.5</v>
      </c>
      <c r="J25" s="91">
        <f>2921+110</f>
        <v>3031</v>
      </c>
      <c r="K25" s="92">
        <f>IF(J25="-",0,I25*J25)</f>
        <v>1126016.5</v>
      </c>
      <c r="L25" s="93">
        <f>IF(H25="-","-",K25*H25)</f>
        <v>731910.725</v>
      </c>
      <c r="M25" s="94">
        <f>IF($H25="-","-",(($K25/(-0.8+1)*((1/(1-$H25))^(-0.8+1)-1))))</f>
        <v>1315379.666088371</v>
      </c>
      <c r="N25" s="94">
        <f>IF($H25="-","-",(($K25/(-1.2+1)*((1/(1-$H25))^(-1.2+1)-1))))</f>
        <v>1066263.9665735606</v>
      </c>
      <c r="O25" s="57"/>
    </row>
    <row r="26" spans="1:15" ht="29.25">
      <c r="A26" s="85" t="s">
        <v>106</v>
      </c>
      <c r="B26" s="85" t="s">
        <v>107</v>
      </c>
      <c r="C26" s="86" t="s">
        <v>108</v>
      </c>
      <c r="D26" s="87" t="s">
        <v>48</v>
      </c>
      <c r="E26" s="88" t="s">
        <v>79</v>
      </c>
      <c r="F26" s="89">
        <v>0.1</v>
      </c>
      <c r="G26" s="89">
        <v>0.4</v>
      </c>
      <c r="H26" s="89">
        <v>0.25</v>
      </c>
      <c r="I26" s="90">
        <v>524.4</v>
      </c>
      <c r="J26" s="91">
        <v>2279</v>
      </c>
      <c r="K26" s="92">
        <f>IF(J26="-",0,I26*J26)</f>
        <v>1195107.5999999999</v>
      </c>
      <c r="L26" s="93">
        <f>IF(H26="-","-",K26*H26)</f>
        <v>298776.89999999997</v>
      </c>
      <c r="M26" s="94">
        <f>IF($H26="-","-",(($K26/(-0.8+1)*((1/(1-$H26))^(-0.8+1)-1))))</f>
        <v>353894.3126931371</v>
      </c>
      <c r="N26" s="94">
        <f>IF($H26="-","-",(($K26/(-1.2+1)*((1/(1-$H26))^(-1.2+1)-1))))</f>
        <v>334107.20093188406</v>
      </c>
      <c r="O26" s="57"/>
    </row>
    <row r="27" spans="1:15" ht="16.5">
      <c r="A27" s="64" t="s">
        <v>109</v>
      </c>
      <c r="B27" s="64" t="s">
        <v>110</v>
      </c>
      <c r="C27" s="65" t="s">
        <v>111</v>
      </c>
      <c r="D27" s="66" t="s">
        <v>40</v>
      </c>
      <c r="E27" s="67" t="s">
        <v>79</v>
      </c>
      <c r="F27" s="68">
        <f>IF(E27="No aumenta",0,IF(E27="Pequeña",0,IF(E27="Moderada",0.1,IF(E27="Grande",0.4,IF(E27="Esencial",0.9,"-")))))</f>
        <v>0.1</v>
      </c>
      <c r="G27" s="68">
        <f>IF(E27="No aumenta",0,IF(E27="Pequeña",0.1,IF(E27="Moderada",0.4,IF(E27="Grande",0.9,IF(E27="Esencial",1,"-")))))</f>
        <v>0.4</v>
      </c>
      <c r="H27" s="68">
        <f>IF(F27="-","-",AVERAGE(F27:G27))</f>
        <v>0.25</v>
      </c>
      <c r="I27" s="69">
        <v>1167.4</v>
      </c>
      <c r="J27" s="70">
        <v>3214</v>
      </c>
      <c r="K27" s="71">
        <f>IF(J27="-",0,I27*J27)</f>
        <v>3752023.6</v>
      </c>
      <c r="L27" s="72">
        <f>IF(H27="-","-",K27*H27)</f>
        <v>938005.9</v>
      </c>
      <c r="M27" s="73">
        <f>IF($H27="-","-",(($K27/(-0.8+1)*((1/(1-$H27))^(-0.8+1)-1))))</f>
        <v>1111046.2464889605</v>
      </c>
      <c r="N27" s="73">
        <f>IF($H27="-","-",(($K27/(-1.2+1)*((1/(1-$H27))^(-1.2+1)-1))))</f>
        <v>1048924.8857813063</v>
      </c>
      <c r="O27" s="57"/>
    </row>
    <row r="28" spans="1:15" ht="42.75">
      <c r="A28" s="85" t="s">
        <v>112</v>
      </c>
      <c r="B28" s="85" t="s">
        <v>113</v>
      </c>
      <c r="C28" s="86" t="s">
        <v>114</v>
      </c>
      <c r="D28" s="87" t="s">
        <v>48</v>
      </c>
      <c r="E28" s="88" t="s">
        <v>62</v>
      </c>
      <c r="F28" s="89" t="s">
        <v>63</v>
      </c>
      <c r="G28" s="89" t="s">
        <v>63</v>
      </c>
      <c r="H28" s="89" t="s">
        <v>63</v>
      </c>
      <c r="I28" s="90">
        <v>1879.1</v>
      </c>
      <c r="J28" s="91">
        <v>67734</v>
      </c>
      <c r="K28" s="92">
        <f>IF(J28="-",0,I28*J28)</f>
        <v>127278959.39999999</v>
      </c>
      <c r="L28" s="93" t="str">
        <f>IF(H28="-","-",K28*H28)</f>
        <v>-</v>
      </c>
      <c r="M28" s="94" t="str">
        <f>IF($H28="-","-",(($K28/(-0.8+1)*((1/(1-$H28))^(-0.8+1)-1))))</f>
        <v>-</v>
      </c>
      <c r="N28" s="94" t="str">
        <f>IF($H28="-","-",(($K28/(-1.2+1)*((1/(1-$H28))^(-1.2+1)-1))))</f>
        <v>-</v>
      </c>
      <c r="O28" s="57"/>
    </row>
    <row r="29" spans="1:15" ht="16.5">
      <c r="A29" s="64" t="s">
        <v>118</v>
      </c>
      <c r="B29" s="64" t="s">
        <v>119</v>
      </c>
      <c r="C29" s="65" t="s">
        <v>120</v>
      </c>
      <c r="D29" s="66" t="s">
        <v>40</v>
      </c>
      <c r="E29" s="67" t="s">
        <v>68</v>
      </c>
      <c r="F29" s="68">
        <f>IF(E29="No aumenta",0,IF(E29="Pequeña",0,IF(E29="Moderada",0.1,IF(E29="Grande",0.4,IF(E29="Esencial",0.9,"-")))))</f>
        <v>0</v>
      </c>
      <c r="G29" s="68">
        <f>IF(E29="No aumenta",0,IF(E29="Pequeña",0.1,IF(E29="Moderada",0.4,IF(E29="Grande",0.9,IF(E29="Esencial",1,"-")))))</f>
        <v>0</v>
      </c>
      <c r="H29" s="68">
        <f>IF(F29="-","-",AVERAGE(F29:G29))</f>
        <v>0</v>
      </c>
      <c r="I29" s="69">
        <v>601</v>
      </c>
      <c r="J29" s="70">
        <f>2834533+1367</f>
        <v>2835900</v>
      </c>
      <c r="K29" s="71">
        <f>IF(J29="-",0,I29*J29)</f>
        <v>1704375900</v>
      </c>
      <c r="L29" s="72">
        <f>IF(H29="-","-",K29*H29)</f>
        <v>0</v>
      </c>
      <c r="M29" s="73">
        <f>IF($H29="-","-",(($K29/(-0.8+1)*((1/(1-$H29))^(-0.8+1)-1))))</f>
        <v>0</v>
      </c>
      <c r="N29" s="73">
        <f>IF($H29="-","-",(($K29/(-1.2+1)*((1/(1-$H29))^(-1.2+1)-1))))</f>
        <v>0</v>
      </c>
      <c r="O29" s="57"/>
    </row>
    <row r="30" spans="1:15" ht="16.5">
      <c r="A30" s="134" t="s">
        <v>134</v>
      </c>
      <c r="B30" s="134" t="s">
        <v>135</v>
      </c>
      <c r="C30" s="135" t="s">
        <v>136</v>
      </c>
      <c r="D30" s="95" t="s">
        <v>50</v>
      </c>
      <c r="E30" s="136" t="s">
        <v>68</v>
      </c>
      <c r="F30" s="137">
        <v>0</v>
      </c>
      <c r="G30" s="137">
        <v>0</v>
      </c>
      <c r="H30" s="137">
        <v>0</v>
      </c>
      <c r="I30" s="138">
        <v>761.9</v>
      </c>
      <c r="J30" s="139">
        <v>12477</v>
      </c>
      <c r="K30" s="140">
        <f>IF(J30="-",0,I30*J30)</f>
        <v>9506226.299999999</v>
      </c>
      <c r="L30" s="141">
        <f>IF(H30="-","-",K30*H30)</f>
        <v>0</v>
      </c>
      <c r="M30" s="142">
        <f>IF($H30="-","-",(($K30/(-0.8+1)*((1/(1-$H30))^(-0.8+1)-1))))</f>
        <v>0</v>
      </c>
      <c r="N30" s="142">
        <f>IF($H30="-","-",(($K30/(-1.2+1)*((1/(1-$H30))^(-1.2+1)-1))))</f>
        <v>0</v>
      </c>
      <c r="O30" s="57"/>
    </row>
    <row r="31" spans="1:15" ht="42.75">
      <c r="A31" s="85" t="s">
        <v>137</v>
      </c>
      <c r="B31" s="85" t="s">
        <v>138</v>
      </c>
      <c r="C31" s="86" t="s">
        <v>139</v>
      </c>
      <c r="D31" s="87" t="s">
        <v>48</v>
      </c>
      <c r="E31" s="88" t="s">
        <v>49</v>
      </c>
      <c r="F31" s="89" t="str">
        <f>IF(E31="No aumenta",0,IF(E31="Pequeña",0,IF(E31="Moderada",0.1,IF(E31="Grande",0.4,IF(E31="Esencial",0.9,"-")))))</f>
        <v>-</v>
      </c>
      <c r="G31" s="89" t="str">
        <f>IF(E31="No aumenta",0,IF(E31="Pequeña",0.1,IF(E31="Moderada",0.4,IF(E31="Grande",0.9,IF(E31="Esencial",1,"-")))))</f>
        <v>-</v>
      </c>
      <c r="H31" s="89" t="str">
        <f>IF(F31="-","-",AVERAGE(F31:G31))</f>
        <v>-</v>
      </c>
      <c r="I31" s="90">
        <v>300</v>
      </c>
      <c r="J31" s="91">
        <v>67626</v>
      </c>
      <c r="K31" s="92">
        <f>IF(J31="-",0,I31*J31)</f>
        <v>20287800</v>
      </c>
      <c r="L31" s="93" t="str">
        <f>IF(H31="-","-",K31*H31)</f>
        <v>-</v>
      </c>
      <c r="M31" s="94" t="str">
        <f>IF($H31="-","-",(($K31/(-0.8+1)*((1/(1-$H31))^(-0.8+1)-1))))</f>
        <v>-</v>
      </c>
      <c r="N31" s="94" t="str">
        <f>IF($H31="-","-",(($K31/(-1.2+1)*((1/(1-$H31))^(-1.2+1)-1))))</f>
        <v>-</v>
      </c>
      <c r="O31" s="57"/>
    </row>
    <row r="32" spans="1:15" ht="16.5">
      <c r="A32" s="134" t="s">
        <v>140</v>
      </c>
      <c r="B32" s="134" t="s">
        <v>141</v>
      </c>
      <c r="C32" s="172" t="s">
        <v>142</v>
      </c>
      <c r="D32" s="173" t="s">
        <v>50</v>
      </c>
      <c r="E32" s="137" t="s">
        <v>68</v>
      </c>
      <c r="F32" s="137">
        <v>0</v>
      </c>
      <c r="G32" s="137">
        <v>0</v>
      </c>
      <c r="H32" s="137">
        <v>0</v>
      </c>
      <c r="I32" s="138">
        <v>238.5</v>
      </c>
      <c r="J32" s="139">
        <v>75</v>
      </c>
      <c r="K32" s="140">
        <f>IF(J32="-",0,I32*J32)</f>
        <v>17887.5</v>
      </c>
      <c r="L32" s="141">
        <f>IF(H32="-","-",K32*H32)</f>
        <v>0</v>
      </c>
      <c r="M32" s="142">
        <f>IF($H32="-","-",(($K32/(-0.8+1)*((1/(1-$H32))^(-0.8+1)-1))))</f>
        <v>0</v>
      </c>
      <c r="N32" s="142">
        <f>IF($H32="-","-",(($K32/(-1.2+1)*((1/(1-$H32))^(-1.2+1)-1))))</f>
        <v>0</v>
      </c>
      <c r="O32" s="57"/>
    </row>
    <row r="33" spans="1:15" ht="16.5">
      <c r="A33" s="119" t="s">
        <v>143</v>
      </c>
      <c r="B33" s="119" t="s">
        <v>144</v>
      </c>
      <c r="C33" s="120" t="s">
        <v>145</v>
      </c>
      <c r="D33" s="121" t="s">
        <v>36</v>
      </c>
      <c r="E33" s="122" t="s">
        <v>68</v>
      </c>
      <c r="F33" s="123">
        <v>0</v>
      </c>
      <c r="G33" s="123">
        <v>0</v>
      </c>
      <c r="H33" s="123">
        <v>0</v>
      </c>
      <c r="I33" s="124">
        <v>216.9</v>
      </c>
      <c r="J33" s="125">
        <v>456258</v>
      </c>
      <c r="K33" s="126">
        <f>IF(J33="-",0,I33*J33)</f>
        <v>98962360.2</v>
      </c>
      <c r="L33" s="127">
        <f>IF(H33="-","-",K33*H33)</f>
        <v>0</v>
      </c>
      <c r="M33" s="128">
        <f>IF($H33="-","-",(($K33/(-0.8+1)*((1/(1-$H33))^(-0.8+1)-1))))</f>
        <v>0</v>
      </c>
      <c r="N33" s="128">
        <f>IF($H33="-","-",(($K33/(-1.2+1)*((1/(1-$H33))^(-1.2+1)-1))))</f>
        <v>0</v>
      </c>
      <c r="O33" s="57"/>
    </row>
    <row r="34" spans="1:15" ht="29.25">
      <c r="A34" s="85" t="s">
        <v>146</v>
      </c>
      <c r="B34" s="85" t="s">
        <v>147</v>
      </c>
      <c r="C34" s="86" t="s">
        <v>148</v>
      </c>
      <c r="D34" s="87" t="s">
        <v>48</v>
      </c>
      <c r="E34" s="88" t="s">
        <v>68</v>
      </c>
      <c r="F34" s="89">
        <f>IF(E34="No aumenta",0,IF(E34="Pequeña",0,IF(E34="Moderada",0.1,IF(E34="Grande",0.4,IF(E34="Esencial",0.9,"-")))))</f>
        <v>0</v>
      </c>
      <c r="G34" s="89">
        <f>IF(E34="No aumenta",0,IF(E34="Pequeña",0.1,IF(E34="Moderada",0.4,IF(E34="Grande",0.9,IF(E34="Esencial",1,"-")))))</f>
        <v>0</v>
      </c>
      <c r="H34" s="89">
        <f>IF(F34="-","-",AVERAGE(F34:G34))</f>
        <v>0</v>
      </c>
      <c r="I34" s="90">
        <v>1034.6</v>
      </c>
      <c r="J34" s="91">
        <f>59490+6840</f>
        <v>66330</v>
      </c>
      <c r="K34" s="92">
        <f>IF(J34="-",0,I34*J34)</f>
        <v>68625018</v>
      </c>
      <c r="L34" s="93">
        <f>IF(H34="-","-",K34*H34)</f>
        <v>0</v>
      </c>
      <c r="M34" s="94">
        <f>IF($H34="-","-",(($K34/(-0.8+1)*((1/(1-$H34))^(-0.8+1)-1))))</f>
        <v>0</v>
      </c>
      <c r="N34" s="94">
        <f>IF($H34="-","-",(($K34/(-1.2+1)*((1/(1-$H34))^(-1.2+1)-1))))</f>
        <v>0</v>
      </c>
      <c r="O34" s="57"/>
    </row>
    <row r="35" spans="1:15" ht="16.5">
      <c r="A35" s="119" t="s">
        <v>149</v>
      </c>
      <c r="B35" s="119" t="s">
        <v>150</v>
      </c>
      <c r="C35" s="120" t="s">
        <v>151</v>
      </c>
      <c r="D35" s="121" t="s">
        <v>36</v>
      </c>
      <c r="E35" s="122" t="s">
        <v>68</v>
      </c>
      <c r="F35" s="123">
        <v>0</v>
      </c>
      <c r="G35" s="123">
        <v>0</v>
      </c>
      <c r="H35" s="123">
        <v>0</v>
      </c>
      <c r="I35" s="124">
        <v>181.5</v>
      </c>
      <c r="J35" s="125">
        <v>313455</v>
      </c>
      <c r="K35" s="126">
        <f>IF(J35="-",0,I35*J35)</f>
        <v>56892082.5</v>
      </c>
      <c r="L35" s="127">
        <f>IF(H35="-","-",K35*H35)</f>
        <v>0</v>
      </c>
      <c r="M35" s="128">
        <f>IF($H35="-","-",(($K35/(-0.8+1)*((1/(1-$H35))^(-0.8+1)-1))))</f>
        <v>0</v>
      </c>
      <c r="N35" s="128">
        <f>IF($H35="-","-",(($K35/(-1.2+1)*((1/(1-$H35))^(-1.2+1)-1))))</f>
        <v>0</v>
      </c>
      <c r="O35" s="57"/>
    </row>
    <row r="36" spans="1:15" ht="16.5">
      <c r="A36" s="174" t="s">
        <v>152</v>
      </c>
      <c r="B36" s="174" t="s">
        <v>153</v>
      </c>
      <c r="C36" s="175" t="s">
        <v>154</v>
      </c>
      <c r="D36" s="79" t="s">
        <v>44</v>
      </c>
      <c r="E36" s="176" t="s">
        <v>68</v>
      </c>
      <c r="F36" s="177">
        <f>IF(E36="No aumenta",0,IF(E36="Pequeña",0,IF(E36="Moderada",0.1,IF(E36="Grande",0.4,IF(E36="Esencial",0.9,"-")))))</f>
        <v>0</v>
      </c>
      <c r="G36" s="177">
        <f>IF(E36="No aumenta",0,IF(E36="Pequeña",0.1,IF(E36="Moderada",0.4,IF(E36="Grande",0.9,IF(E36="Esencial",1,"-")))))</f>
        <v>0</v>
      </c>
      <c r="H36" s="177">
        <f>IF(F36="-","-",AVERAGE(F36:G36))</f>
        <v>0</v>
      </c>
      <c r="I36" s="178">
        <v>396.6</v>
      </c>
      <c r="J36" s="179">
        <f>560+517792</f>
        <v>518352</v>
      </c>
      <c r="K36" s="180">
        <f>IF(J36="-",0,I36*J36)</f>
        <v>205578403.20000002</v>
      </c>
      <c r="L36" s="181">
        <f>IF(H36="-","-",K36*H36)</f>
        <v>0</v>
      </c>
      <c r="M36" s="182">
        <f>IF($H36="-","-",(($K36/(-0.8+1)*((1/(1-$H36))^(-0.8+1)-1))))</f>
        <v>0</v>
      </c>
      <c r="N36" s="182">
        <f>IF($H36="-","-",(($K36/(-1.2+1)*((1/(1-$H36))^(-1.2+1)-1))))</f>
        <v>0</v>
      </c>
      <c r="O36" s="57"/>
    </row>
    <row r="37" spans="1:15" ht="42.75">
      <c r="A37" s="85" t="s">
        <v>155</v>
      </c>
      <c r="B37" s="85" t="s">
        <v>156</v>
      </c>
      <c r="C37" s="86" t="s">
        <v>157</v>
      </c>
      <c r="D37" s="87" t="s">
        <v>48</v>
      </c>
      <c r="E37" s="88" t="s">
        <v>49</v>
      </c>
      <c r="F37" s="89" t="s">
        <v>63</v>
      </c>
      <c r="G37" s="89" t="s">
        <v>63</v>
      </c>
      <c r="H37" s="89" t="s">
        <v>63</v>
      </c>
      <c r="I37" s="90">
        <v>677.7</v>
      </c>
      <c r="J37" s="91">
        <v>1859</v>
      </c>
      <c r="K37" s="92">
        <f>IF(J37="-",0,I37*J37)</f>
        <v>1259844.3</v>
      </c>
      <c r="L37" s="93" t="str">
        <f>IF(H37="-","-",K37*H37)</f>
        <v>-</v>
      </c>
      <c r="M37" s="94" t="str">
        <f>IF($H37="-","-",(($K37/(-0.8+1)*((1/(1-$H37))^(-0.8+1)-1))))</f>
        <v>-</v>
      </c>
      <c r="N37" s="94" t="str">
        <f>IF($H37="-","-",(($K37/(-1.2+1)*((1/(1-$H37))^(-1.2+1)-1))))</f>
        <v>-</v>
      </c>
      <c r="O37" s="57"/>
    </row>
    <row r="38" spans="1:15" ht="42.75">
      <c r="A38" s="85" t="s">
        <v>158</v>
      </c>
      <c r="B38" s="85" t="s">
        <v>159</v>
      </c>
      <c r="C38" s="86" t="s">
        <v>157</v>
      </c>
      <c r="D38" s="87" t="s">
        <v>48</v>
      </c>
      <c r="E38" s="88" t="s">
        <v>49</v>
      </c>
      <c r="F38" s="89" t="s">
        <v>63</v>
      </c>
      <c r="G38" s="89" t="s">
        <v>63</v>
      </c>
      <c r="H38" s="89" t="s">
        <v>63</v>
      </c>
      <c r="I38" s="90">
        <v>174.9</v>
      </c>
      <c r="J38" s="91">
        <v>825450</v>
      </c>
      <c r="K38" s="92">
        <f>IF(J38="-",0,I38*J38)</f>
        <v>144371205</v>
      </c>
      <c r="L38" s="93" t="str">
        <f>IF(H38="-","-",K38*H38)</f>
        <v>-</v>
      </c>
      <c r="M38" s="94" t="str">
        <f>IF($H38="-","-",(($K38/(-0.8+1)*((1/(1-$H38))^(-0.8+1)-1))))</f>
        <v>-</v>
      </c>
      <c r="N38" s="94" t="str">
        <f>IF($H38="-","-",(($K38/(-1.2+1)*((1/(1-$H38))^(-1.2+1)-1))))</f>
        <v>-</v>
      </c>
      <c r="O38" s="57"/>
    </row>
    <row r="39" spans="1:15" ht="56.25">
      <c r="A39" s="85" t="s">
        <v>163</v>
      </c>
      <c r="B39" s="85" t="s">
        <v>164</v>
      </c>
      <c r="C39" s="86" t="s">
        <v>165</v>
      </c>
      <c r="D39" s="87" t="s">
        <v>48</v>
      </c>
      <c r="E39" s="88" t="s">
        <v>130</v>
      </c>
      <c r="F39" s="89">
        <f>IF(E39="No aumenta",0,IF(E39="Pequeña",0,IF(E39="Moderada",0.1,IF(E39="Grande",0.4,IF(E39="Esencial",0.9,"-")))))</f>
        <v>0.9</v>
      </c>
      <c r="G39" s="89">
        <f>IF(E39="No aumenta",0,IF(E39="Pequeña",0.1,IF(E39="Moderada",0.4,IF(E39="Grande",0.9,IF(E39="Esencial",1,"-")))))</f>
        <v>1</v>
      </c>
      <c r="H39" s="89">
        <f>IF(F39="-","-",AVERAGE(F39:G39))</f>
        <v>0.95</v>
      </c>
      <c r="I39" s="90">
        <v>259.9</v>
      </c>
      <c r="J39" s="91">
        <v>328618</v>
      </c>
      <c r="K39" s="92">
        <f>IF(J39="-",0,I39*J39)</f>
        <v>85407818.19999999</v>
      </c>
      <c r="L39" s="93">
        <f>IF(H39="-","-",K39*H39)</f>
        <v>81137427.28999999</v>
      </c>
      <c r="M39" s="94">
        <f>IF($H39="-","-",(($K39/(-0.8+1)*((1/(1-$H39))^(-0.8+1)-1))))</f>
        <v>350412991.3673966</v>
      </c>
      <c r="N39" s="94">
        <f>IF($H39="-","-",(($K39/(-1.2+1)*((1/(1-$H39))^(-1.2+1)-1))))</f>
        <v>192474943.08904463</v>
      </c>
      <c r="O39" s="57"/>
    </row>
    <row r="40" spans="1:15" ht="42.75">
      <c r="A40" s="64" t="s">
        <v>166</v>
      </c>
      <c r="B40" s="64" t="s">
        <v>167</v>
      </c>
      <c r="C40" s="65" t="s">
        <v>168</v>
      </c>
      <c r="D40" s="66" t="s">
        <v>40</v>
      </c>
      <c r="E40" s="67" t="s">
        <v>35</v>
      </c>
      <c r="F40" s="68">
        <v>0.4</v>
      </c>
      <c r="G40" s="68">
        <v>0.9</v>
      </c>
      <c r="H40" s="68">
        <v>0.65</v>
      </c>
      <c r="I40" s="69">
        <v>532.1</v>
      </c>
      <c r="J40" s="70">
        <f>5826+280</f>
        <v>6106</v>
      </c>
      <c r="K40" s="71">
        <f>IF(J40="-",0,I40*J40)</f>
        <v>3249002.6</v>
      </c>
      <c r="L40" s="72">
        <f>IF(H40="-","-",K40*H40)</f>
        <v>2111851.69</v>
      </c>
      <c r="M40" s="73">
        <f>IF($H40="-","-",(($K40/(-0.8+1)*((1/(1-$H40))^(-0.8+1)-1))))</f>
        <v>3795390.169778373</v>
      </c>
      <c r="N40" s="73">
        <f>IF($H40="-","-",(($K40/(-1.2+1)*((1/(1-$H40))^(-1.2+1)-1))))</f>
        <v>3076592.927087491</v>
      </c>
      <c r="O40" s="57"/>
    </row>
    <row r="41" spans="1:15" ht="16.5">
      <c r="A41" s="64" t="s">
        <v>169</v>
      </c>
      <c r="B41" s="64" t="s">
        <v>170</v>
      </c>
      <c r="C41" s="65" t="s">
        <v>171</v>
      </c>
      <c r="D41" s="66" t="s">
        <v>40</v>
      </c>
      <c r="E41" s="67" t="s">
        <v>35</v>
      </c>
      <c r="F41" s="68">
        <v>0.4</v>
      </c>
      <c r="G41" s="68">
        <v>0.9</v>
      </c>
      <c r="H41" s="68">
        <v>0.65</v>
      </c>
      <c r="I41" s="69">
        <v>427.4</v>
      </c>
      <c r="J41" s="70">
        <v>1756</v>
      </c>
      <c r="K41" s="71">
        <f>IF(J41="-",0,I41*J41)</f>
        <v>750514.3999999999</v>
      </c>
      <c r="L41" s="72">
        <f>IF(H41="-","-",K41*H41)</f>
        <v>487834.3599999999</v>
      </c>
      <c r="M41" s="73">
        <f>IF($H41="-","-",(($K41/(-0.8+1)*((1/(1-$H41))^(-0.8+1)-1))))</f>
        <v>876729.0540294162</v>
      </c>
      <c r="N41" s="73">
        <f>IF($H41="-","-",(($K41/(-1.2+1)*((1/(1-$H41))^(-1.2+1)-1))))</f>
        <v>710688.0415292102</v>
      </c>
      <c r="O41" s="57"/>
    </row>
    <row r="42" spans="1:15" ht="29.25">
      <c r="A42" s="134" t="s">
        <v>172</v>
      </c>
      <c r="B42" s="134" t="s">
        <v>173</v>
      </c>
      <c r="C42" s="135" t="s">
        <v>174</v>
      </c>
      <c r="D42" s="95" t="s">
        <v>50</v>
      </c>
      <c r="E42" s="136" t="s">
        <v>68</v>
      </c>
      <c r="F42" s="137">
        <f>IF(E42="No aumenta",0,IF(E42="Pequeña",0,IF(E42="Moderada",0.1,IF(E42="Grande",0.4,IF(E42="Esencial",0.9,"-")))))</f>
        <v>0</v>
      </c>
      <c r="G42" s="137">
        <f>IF(E42="No aumenta",0,IF(E42="Pequeña",0.1,IF(E42="Moderada",0.4,IF(E42="Grande",0.9,IF(E42="Esencial",1,"-")))))</f>
        <v>0</v>
      </c>
      <c r="H42" s="137">
        <f>IF(F42="-","-",AVERAGE(F42:G42))</f>
        <v>0</v>
      </c>
      <c r="I42" s="138">
        <v>223.6</v>
      </c>
      <c r="J42" s="139">
        <v>80002</v>
      </c>
      <c r="K42" s="140">
        <f>IF(J42="-",0,I42*J42)</f>
        <v>17888447.2</v>
      </c>
      <c r="L42" s="141">
        <f>IF(H42="-","-",K42*H42)</f>
        <v>0</v>
      </c>
      <c r="M42" s="142">
        <f>IF($H42="-","-",(($K42/(-0.8+1)*((1/(1-$H42))^(-0.8+1)-1))))</f>
        <v>0</v>
      </c>
      <c r="N42" s="142">
        <f>IF($H42="-","-",(($K42/(-1.2+1)*((1/(1-$H42))^(-1.2+1)-1))))</f>
        <v>0</v>
      </c>
      <c r="O42" s="57"/>
    </row>
    <row r="43" spans="1:15" ht="29.25">
      <c r="A43" s="85" t="s">
        <v>175</v>
      </c>
      <c r="B43" s="85" t="s">
        <v>176</v>
      </c>
      <c r="C43" s="86" t="s">
        <v>174</v>
      </c>
      <c r="D43" s="87" t="s">
        <v>48</v>
      </c>
      <c r="E43" s="88" t="s">
        <v>68</v>
      </c>
      <c r="F43" s="89">
        <f>IF(E43="No aumenta",0,IF(E43="Pequeña",0,IF(E43="Moderada",0.1,IF(E43="Grande",0.4,IF(E43="Esencial",0.9,"-")))))</f>
        <v>0</v>
      </c>
      <c r="G43" s="89">
        <f>IF(E43="No aumenta",0,IF(E43="Pequeña",0.1,IF(E43="Moderada",0.4,IF(E43="Grande",0.9,IF(E43="Esencial",1,"-")))))</f>
        <v>0</v>
      </c>
      <c r="H43" s="89">
        <f>IF(F43="-","-",AVERAGE(F43:G43))</f>
        <v>0</v>
      </c>
      <c r="I43" s="90">
        <v>1847.6</v>
      </c>
      <c r="J43" s="91">
        <v>11369</v>
      </c>
      <c r="K43" s="92">
        <f>IF(J43="-",0,I43*J43)</f>
        <v>21005364.4</v>
      </c>
      <c r="L43" s="93">
        <f>IF(H43="-","-",K43*H43)</f>
        <v>0</v>
      </c>
      <c r="M43" s="94">
        <f>IF($H43="-","-",(($K43/(-0.8+1)*((1/(1-$H43))^(-0.8+1)-1))))</f>
        <v>0</v>
      </c>
      <c r="N43" s="94">
        <f>IF($H43="-","-",(($K43/(-1.2+1)*((1/(1-$H43))^(-1.2+1)-1))))</f>
        <v>0</v>
      </c>
      <c r="O43" s="57"/>
    </row>
    <row r="44" spans="1:15" ht="29.25">
      <c r="A44" s="64" t="s">
        <v>177</v>
      </c>
      <c r="B44" s="64" t="s">
        <v>178</v>
      </c>
      <c r="C44" s="65" t="s">
        <v>179</v>
      </c>
      <c r="D44" s="66" t="s">
        <v>40</v>
      </c>
      <c r="E44" s="67" t="s">
        <v>35</v>
      </c>
      <c r="F44" s="68">
        <v>0.4</v>
      </c>
      <c r="G44" s="68">
        <v>0.9</v>
      </c>
      <c r="H44" s="68">
        <v>0.65</v>
      </c>
      <c r="I44" s="69">
        <v>471.3</v>
      </c>
      <c r="J44" s="70">
        <v>3435</v>
      </c>
      <c r="K44" s="71">
        <f>IF(J44="-",0,I44*J44)</f>
        <v>1618915.5</v>
      </c>
      <c r="L44" s="72">
        <f>IF(H44="-","-",K44*H44)</f>
        <v>1052295.075</v>
      </c>
      <c r="M44" s="73">
        <f>IF($H44="-","-",(($K44/(-0.8+1)*((1/(1-$H44))^(-0.8+1)-1))))</f>
        <v>1891169.916084967</v>
      </c>
      <c r="N44" s="73">
        <f>IF($H44="-","-",(($K44/(-1.2+1)*((1/(1-$H44))^(-1.2+1)-1))))</f>
        <v>1533007.076341616</v>
      </c>
      <c r="O44" s="57"/>
    </row>
    <row r="45" spans="1:15" ht="42.75">
      <c r="A45" s="183" t="s">
        <v>180</v>
      </c>
      <c r="B45" s="183" t="s">
        <v>181</v>
      </c>
      <c r="C45" s="184" t="s">
        <v>182</v>
      </c>
      <c r="D45" s="101" t="s">
        <v>54</v>
      </c>
      <c r="E45" s="185" t="s">
        <v>62</v>
      </c>
      <c r="F45" s="186" t="s">
        <v>63</v>
      </c>
      <c r="G45" s="186" t="s">
        <v>63</v>
      </c>
      <c r="H45" s="186" t="s">
        <v>63</v>
      </c>
      <c r="I45" s="187">
        <v>212.7</v>
      </c>
      <c r="J45" s="188">
        <v>99895</v>
      </c>
      <c r="K45" s="189">
        <f>IF(J45="-",0,I45*J45)</f>
        <v>21247666.5</v>
      </c>
      <c r="L45" s="190" t="str">
        <f>IF(H45="-","-",K45*H45)</f>
        <v>-</v>
      </c>
      <c r="M45" s="191" t="str">
        <f>IF($H45="-","-",(($K45/(-0.8+1)*((1/(1-$H45))^(-0.8+1)-1))))</f>
        <v>-</v>
      </c>
      <c r="N45" s="191" t="str">
        <f>IF($H45="-","-",(($K45/(-1.2+1)*((1/(1-$H45))^(-1.2+1)-1))))</f>
        <v>-</v>
      </c>
      <c r="O45" s="57"/>
    </row>
    <row r="46" spans="1:15" ht="42.75">
      <c r="A46" s="85" t="s">
        <v>251</v>
      </c>
      <c r="B46" s="85" t="s">
        <v>184</v>
      </c>
      <c r="C46" s="86" t="s">
        <v>185</v>
      </c>
      <c r="D46" s="87" t="s">
        <v>48</v>
      </c>
      <c r="E46" s="88" t="s">
        <v>130</v>
      </c>
      <c r="F46" s="89">
        <f>IF(E46="No aumenta",0,IF(E46="Pequeña",0,IF(E46="Moderada",0.1,IF(E46="Grande",0.4,IF(E46="Esencial",0.9,"-")))))</f>
        <v>0.9</v>
      </c>
      <c r="G46" s="89">
        <f>IF(E46="No aumenta",0,IF(E46="Pequeña",0.1,IF(E46="Moderada",0.4,IF(E46="Grande",0.9,IF(E46="Esencial",1,"-")))))</f>
        <v>1</v>
      </c>
      <c r="H46" s="89">
        <f>IF(F46="-","-",AVERAGE(F46:G46))</f>
        <v>0.95</v>
      </c>
      <c r="I46" s="90">
        <v>333.5</v>
      </c>
      <c r="J46" s="91">
        <f>1889+4048</f>
        <v>5937</v>
      </c>
      <c r="K46" s="92">
        <f>IF(J46="-",0,I46*J46)</f>
        <v>1979989.5</v>
      </c>
      <c r="L46" s="93">
        <f>IF(H46="-","-",K46*H46)</f>
        <v>1880990.025</v>
      </c>
      <c r="M46" s="94">
        <f>IF($H46="-","-",(($K46/(-0.8+1)*((1/(1-$H46))^(-0.8+1)-1))))</f>
        <v>8123542.530337533</v>
      </c>
      <c r="N46" s="94">
        <f>IF($H46="-","-",(($K46/(-1.2+1)*((1/(1-$H46))^(-1.2+1)-1))))</f>
        <v>4462101.647848978</v>
      </c>
      <c r="O46" s="57"/>
    </row>
    <row r="47" spans="1:15" ht="16.5">
      <c r="A47" s="64" t="s">
        <v>186</v>
      </c>
      <c r="B47" s="64" t="s">
        <v>187</v>
      </c>
      <c r="C47" s="192" t="s">
        <v>188</v>
      </c>
      <c r="D47" s="66" t="s">
        <v>40</v>
      </c>
      <c r="E47" s="67" t="s">
        <v>35</v>
      </c>
      <c r="F47" s="68">
        <v>0.4</v>
      </c>
      <c r="G47" s="68">
        <v>0.9</v>
      </c>
      <c r="H47" s="68">
        <v>0.65</v>
      </c>
      <c r="I47" s="69">
        <v>316.1</v>
      </c>
      <c r="J47" s="70">
        <v>580</v>
      </c>
      <c r="K47" s="71">
        <f>IF(J47="-",0,I47*J47)</f>
        <v>183338</v>
      </c>
      <c r="L47" s="72">
        <f>IF(H47="-","-",K47*H47)</f>
        <v>119169.7</v>
      </c>
      <c r="M47" s="73">
        <f>IF($H47="-","-",(($K47/(-0.8+1)*((1/(1-$H47))^(-0.8+1)-1))))</f>
        <v>214170.10960435285</v>
      </c>
      <c r="N47" s="73">
        <f>IF($H47="-","-",(($K47/(-1.2+1)*((1/(1-$H47))^(-1.2+1)-1))))</f>
        <v>173609.09285402432</v>
      </c>
      <c r="O47" s="57"/>
    </row>
    <row r="48" spans="1:15" ht="16.5">
      <c r="A48" s="174" t="s">
        <v>189</v>
      </c>
      <c r="B48" s="174" t="s">
        <v>190</v>
      </c>
      <c r="C48" s="193" t="s">
        <v>191</v>
      </c>
      <c r="D48" s="79" t="s">
        <v>44</v>
      </c>
      <c r="E48" s="176" t="s">
        <v>79</v>
      </c>
      <c r="F48" s="177">
        <f>IF(E48="No aumenta",0,IF(E48="Pequeña",0,IF(E48="Moderada",0.1,IF(E48="Grande",0.4,IF(E48="Esencial",0.9,"-")))))</f>
        <v>0.1</v>
      </c>
      <c r="G48" s="177">
        <f>IF(E48="No aumenta",0,IF(E48="Pequeña",0.1,IF(E48="Moderada",0.4,IF(E48="Grande",0.9,IF(E48="Esencial",1,"-")))))</f>
        <v>0.4</v>
      </c>
      <c r="H48" s="177">
        <f>IF(F48="-","-",AVERAGE(F48:G48))</f>
        <v>0.25</v>
      </c>
      <c r="I48" s="178">
        <v>283.3</v>
      </c>
      <c r="J48" s="179">
        <v>4620</v>
      </c>
      <c r="K48" s="180">
        <f>IF(J48="-",0,I48*J48)</f>
        <v>1308846</v>
      </c>
      <c r="L48" s="181">
        <f>IF(H48="-","-",K48*H48)</f>
        <v>327211.5</v>
      </c>
      <c r="M48" s="182">
        <f>IF($H48="-","-",(($K48/(-0.8+1)*((1/(1-$H48))^(-0.8+1)-1))))</f>
        <v>387574.4373068682</v>
      </c>
      <c r="N48" s="182">
        <f>IF($H48="-","-",(($K48/(-1.2+1)*((1/(1-$H48))^(-1.2+1)-1))))</f>
        <v>365904.1859585637</v>
      </c>
      <c r="O48" s="57"/>
    </row>
    <row r="49" spans="1:15" ht="16.5">
      <c r="A49" s="119" t="s">
        <v>195</v>
      </c>
      <c r="B49" s="119" t="s">
        <v>196</v>
      </c>
      <c r="C49" s="120" t="s">
        <v>197</v>
      </c>
      <c r="D49" s="121" t="s">
        <v>36</v>
      </c>
      <c r="E49" s="194" t="s">
        <v>68</v>
      </c>
      <c r="F49" s="123">
        <v>0</v>
      </c>
      <c r="G49" s="123">
        <v>0</v>
      </c>
      <c r="H49" s="123">
        <v>0</v>
      </c>
      <c r="I49" s="124">
        <v>276.1</v>
      </c>
      <c r="J49" s="125">
        <v>1043</v>
      </c>
      <c r="K49" s="126">
        <f>IF(J49="-",0,I49*J49)</f>
        <v>287972.30000000005</v>
      </c>
      <c r="L49" s="127">
        <f>IF(H49="-","-",K49*H49)</f>
        <v>0</v>
      </c>
      <c r="M49" s="128">
        <f>IF($H49="-","-",(($K49/(-0.8+1)*((1/(1-$H49))^(-0.8+1)-1))))</f>
        <v>0</v>
      </c>
      <c r="N49" s="128">
        <f>IF($H49="-","-",(($K49/(-1.2+1)*((1/(1-$H49))^(-1.2+1)-1))))</f>
        <v>0</v>
      </c>
      <c r="O49" s="57"/>
    </row>
    <row r="50" spans="1:15" ht="16.5">
      <c r="A50" s="119" t="s">
        <v>198</v>
      </c>
      <c r="B50" s="119" t="s">
        <v>199</v>
      </c>
      <c r="C50" s="120" t="s">
        <v>200</v>
      </c>
      <c r="D50" s="121" t="s">
        <v>36</v>
      </c>
      <c r="E50" s="122" t="s">
        <v>68</v>
      </c>
      <c r="F50" s="123">
        <f>IF(E50="No aumenta",0,IF(E50="Pequeña",0,IF(E50="Moderada",0.1,IF(E50="Grande",0.4,IF(E50="Esencial",0.9,"-")))))</f>
        <v>0</v>
      </c>
      <c r="G50" s="123">
        <f>IF(E50="No aumenta",0,IF(E50="Pequeña",0.1,IF(E50="Moderada",0.4,IF(E50="Grande",0.9,IF(E50="Esencial",1,"-")))))</f>
        <v>0</v>
      </c>
      <c r="H50" s="123">
        <f>IF(F50="-","-",AVERAGE(F50:G50))</f>
        <v>0</v>
      </c>
      <c r="I50" s="124">
        <v>183.6</v>
      </c>
      <c r="J50" s="125">
        <v>50370</v>
      </c>
      <c r="K50" s="126">
        <f>IF(J50="-",0,I50*J50)</f>
        <v>9247932</v>
      </c>
      <c r="L50" s="127">
        <f>IF(H50="-","-",K50*H50)</f>
        <v>0</v>
      </c>
      <c r="M50" s="128">
        <f>IF($H50="-","-",(($K50/(-0.8+1)*((1/(1-$H50))^(-0.8+1)-1))))</f>
        <v>0</v>
      </c>
      <c r="N50" s="128">
        <f>IF($H50="-","-",(($K50/(-1.2+1)*((1/(1-$H50))^(-1.2+1)-1))))</f>
        <v>0</v>
      </c>
      <c r="O50" s="57"/>
    </row>
    <row r="51" spans="1:15" ht="16.5">
      <c r="A51" s="174" t="s">
        <v>201</v>
      </c>
      <c r="B51" s="174" t="s">
        <v>202</v>
      </c>
      <c r="C51" s="195" t="s">
        <v>203</v>
      </c>
      <c r="D51" s="196" t="s">
        <v>44</v>
      </c>
      <c r="E51" s="177" t="s">
        <v>72</v>
      </c>
      <c r="F51" s="177">
        <v>0</v>
      </c>
      <c r="G51" s="177">
        <v>0.1</v>
      </c>
      <c r="H51" s="177">
        <v>0.05</v>
      </c>
      <c r="I51" s="178">
        <v>311.7</v>
      </c>
      <c r="J51" s="179">
        <v>2150</v>
      </c>
      <c r="K51" s="180">
        <f>IF(J51="-",0,I51*J51)</f>
        <v>670155</v>
      </c>
      <c r="L51" s="181">
        <f>IF(H51="-","-",K51*H51)</f>
        <v>33507.75</v>
      </c>
      <c r="M51" s="182">
        <f>IF($H51="-","-",(($K51/(-0.8+1)*((1/(1-$H51))^(-0.8+1)-1))))</f>
        <v>34551.380096057306</v>
      </c>
      <c r="N51" s="182">
        <f>IF($H51="-","-",(($K51/(-1.2+1)*((1/(1-$H51))^(-1.2+1)-1))))</f>
        <v>34198.7411677811</v>
      </c>
      <c r="O51" s="57"/>
    </row>
    <row r="52" spans="1:15" ht="16.5">
      <c r="A52" s="174" t="s">
        <v>210</v>
      </c>
      <c r="B52" s="174" t="s">
        <v>211</v>
      </c>
      <c r="C52" s="175" t="s">
        <v>212</v>
      </c>
      <c r="D52" s="79" t="s">
        <v>44</v>
      </c>
      <c r="E52" s="176" t="s">
        <v>79</v>
      </c>
      <c r="F52" s="177">
        <v>0.1</v>
      </c>
      <c r="G52" s="177">
        <v>0.4</v>
      </c>
      <c r="H52" s="177">
        <v>0.25</v>
      </c>
      <c r="I52" s="178">
        <v>336.1</v>
      </c>
      <c r="J52" s="179">
        <v>74</v>
      </c>
      <c r="K52" s="180">
        <f>IF(J52="-",0,I52*J52)</f>
        <v>24871.4</v>
      </c>
      <c r="L52" s="181">
        <f>IF(H52="-","-",K52*H52)</f>
        <v>6217.85</v>
      </c>
      <c r="M52" s="182">
        <f>IF($H52="-","-",(($K52/(-0.8+1)*((1/(1-$H52))^(-0.8+1)-1))))</f>
        <v>7364.899201307137</v>
      </c>
      <c r="N52" s="182">
        <f>IF($H52="-","-",(($K52/(-1.2+1)*((1/(1-$H52))^(-1.2+1)-1))))</f>
        <v>6953.109357899876</v>
      </c>
      <c r="O52" s="57"/>
    </row>
    <row r="53" spans="1:15" ht="16.5">
      <c r="A53" s="85" t="s">
        <v>213</v>
      </c>
      <c r="B53" s="85" t="s">
        <v>214</v>
      </c>
      <c r="C53" s="86" t="s">
        <v>215</v>
      </c>
      <c r="D53" s="87" t="s">
        <v>48</v>
      </c>
      <c r="E53" s="88" t="s">
        <v>68</v>
      </c>
      <c r="F53" s="89">
        <v>0</v>
      </c>
      <c r="G53" s="89">
        <v>0</v>
      </c>
      <c r="H53" s="89">
        <v>0</v>
      </c>
      <c r="I53" s="90">
        <v>508.7</v>
      </c>
      <c r="J53" s="91">
        <v>15787</v>
      </c>
      <c r="K53" s="92">
        <f>IF(J53="-",0,I53*J53)</f>
        <v>8030846.899999999</v>
      </c>
      <c r="L53" s="93">
        <f>IF(H53="-","-",K53*H53)</f>
        <v>0</v>
      </c>
      <c r="M53" s="94">
        <f>IF($H53="-","-",(($K53/(-0.8+1)*((1/(1-$H53))^(-0.8+1)-1))))</f>
        <v>0</v>
      </c>
      <c r="N53" s="94">
        <f>IF($H53="-","-",(($K53/(-1.2+1)*((1/(1-$H53))^(-1.2+1)-1))))</f>
        <v>0</v>
      </c>
      <c r="O53" s="57"/>
    </row>
    <row r="54" spans="1:15" ht="29.25">
      <c r="A54" s="174" t="s">
        <v>222</v>
      </c>
      <c r="B54" s="174" t="s">
        <v>223</v>
      </c>
      <c r="C54" s="175" t="s">
        <v>224</v>
      </c>
      <c r="D54" s="79" t="s">
        <v>44</v>
      </c>
      <c r="E54" s="176" t="s">
        <v>79</v>
      </c>
      <c r="F54" s="177">
        <v>0.1</v>
      </c>
      <c r="G54" s="177">
        <v>0.4</v>
      </c>
      <c r="H54" s="177">
        <v>0.25</v>
      </c>
      <c r="I54" s="178">
        <v>380.1</v>
      </c>
      <c r="J54" s="179">
        <v>174363</v>
      </c>
      <c r="K54" s="180">
        <f>IF(J54="-",0,I54*J54)</f>
        <v>66275376.300000004</v>
      </c>
      <c r="L54" s="181">
        <f>IF(H54="-","-",K54*H54)</f>
        <v>16568844.075000001</v>
      </c>
      <c r="M54" s="182">
        <f>IF($H54="-","-",(($K54/(-0.8+1)*((1/(1-$H54))^(-0.8+1)-1))))</f>
        <v>19625411.757207077</v>
      </c>
      <c r="N54" s="182">
        <f>IF($H54="-","-",(($K54/(-1.2+1)*((1/(1-$H54))^(-1.2+1)-1))))</f>
        <v>18528106.14399936</v>
      </c>
      <c r="O54" s="57"/>
    </row>
    <row r="55" spans="1:15" ht="16.5">
      <c r="A55" s="85" t="s">
        <v>231</v>
      </c>
      <c r="B55" s="85" t="s">
        <v>232</v>
      </c>
      <c r="C55" s="86" t="s">
        <v>233</v>
      </c>
      <c r="D55" s="87" t="s">
        <v>48</v>
      </c>
      <c r="E55" s="88" t="s">
        <v>72</v>
      </c>
      <c r="F55" s="89">
        <v>0</v>
      </c>
      <c r="G55" s="89">
        <v>0.1</v>
      </c>
      <c r="H55" s="89">
        <v>0.05</v>
      </c>
      <c r="I55" s="90">
        <v>440.6</v>
      </c>
      <c r="J55" s="91">
        <v>97372</v>
      </c>
      <c r="K55" s="92">
        <f>IF(J55="-",0,I55*J55)</f>
        <v>42902103.2</v>
      </c>
      <c r="L55" s="93">
        <f>IF(H55="-","-",K55*H55)</f>
        <v>2145105.16</v>
      </c>
      <c r="M55" s="94">
        <f>IF($H55="-","-",(($K55/(-0.8+1)*((1/(1-$H55))^(-0.8+1)-1))))</f>
        <v>2211916.459003479</v>
      </c>
      <c r="N55" s="94">
        <f>IF($H55="-","-",(($K55/(-1.2+1)*((1/(1-$H55))^(-1.2+1)-1))))</f>
        <v>2189341.156732746</v>
      </c>
      <c r="O55" s="57"/>
    </row>
    <row r="56" spans="1:15" ht="29.25">
      <c r="A56" s="47" t="s">
        <v>234</v>
      </c>
      <c r="B56" s="47" t="s">
        <v>235</v>
      </c>
      <c r="C56" s="48" t="s">
        <v>236</v>
      </c>
      <c r="D56" s="49" t="s">
        <v>34</v>
      </c>
      <c r="E56" s="50" t="s">
        <v>68</v>
      </c>
      <c r="F56" s="51" t="s">
        <v>63</v>
      </c>
      <c r="G56" s="51" t="s">
        <v>63</v>
      </c>
      <c r="H56" s="51" t="s">
        <v>63</v>
      </c>
      <c r="I56" s="157">
        <v>2087.7</v>
      </c>
      <c r="J56" s="158">
        <v>1421</v>
      </c>
      <c r="K56" s="54">
        <f>IF(J56="-",0,I56*J56)</f>
        <v>2966621.6999999997</v>
      </c>
      <c r="L56" s="55" t="str">
        <f>IF(H56="-","-",K56*H56)</f>
        <v>-</v>
      </c>
      <c r="M56" s="56" t="str">
        <f>IF($H56="-","-",(($K56/(-0.8+1)*((1/(1-$H56))^(-0.8+1)-1))))</f>
        <v>-</v>
      </c>
      <c r="N56" s="56" t="str">
        <f>IF($H56="-","-",(($K56/(-1.2+1)*((1/(1-$H56))^(-1.2+1)-1))))</f>
        <v>-</v>
      </c>
      <c r="O56" s="57"/>
    </row>
    <row r="57" spans="1:15" ht="16.5">
      <c r="A57" s="85" t="s">
        <v>237</v>
      </c>
      <c r="B57" s="85" t="s">
        <v>238</v>
      </c>
      <c r="C57" s="86" t="s">
        <v>239</v>
      </c>
      <c r="D57" s="87" t="s">
        <v>48</v>
      </c>
      <c r="E57" s="88" t="s">
        <v>130</v>
      </c>
      <c r="F57" s="89">
        <v>0.9</v>
      </c>
      <c r="G57" s="89">
        <v>1</v>
      </c>
      <c r="H57" s="89">
        <v>0.95</v>
      </c>
      <c r="I57" s="90">
        <v>243.3</v>
      </c>
      <c r="J57" s="91">
        <v>95301</v>
      </c>
      <c r="K57" s="92">
        <f>IF(J57="-",0,I57*J57)</f>
        <v>23186733.3</v>
      </c>
      <c r="L57" s="93">
        <f>IF(H57="-","-",K57*H57)</f>
        <v>22027396.634999998</v>
      </c>
      <c r="M57" s="94">
        <f>IF($H57="-","-",(($K57/(-0.8+1)*((1/(1-$H57))^(-0.8+1)-1))))</f>
        <v>95131016.65546384</v>
      </c>
      <c r="N57" s="94">
        <f>IF($H57="-","-",(($K57/(-1.2+1)*((1/(1-$H57))^(-1.2+1)-1))))</f>
        <v>52253590.671144865</v>
      </c>
      <c r="O57" s="57"/>
    </row>
    <row r="58" spans="1:15" ht="29.25">
      <c r="A58" s="119" t="s">
        <v>240</v>
      </c>
      <c r="B58" s="119" t="s">
        <v>241</v>
      </c>
      <c r="C58" s="120" t="s">
        <v>242</v>
      </c>
      <c r="D58" s="121" t="s">
        <v>36</v>
      </c>
      <c r="E58" s="122" t="s">
        <v>68</v>
      </c>
      <c r="F58" s="123">
        <v>0</v>
      </c>
      <c r="G58" s="123">
        <v>0</v>
      </c>
      <c r="H58" s="123">
        <v>0</v>
      </c>
      <c r="I58" s="124">
        <v>230.1</v>
      </c>
      <c r="J58" s="125">
        <v>814048</v>
      </c>
      <c r="K58" s="126">
        <f>IF(J58="-",0,I58*J58)</f>
        <v>187312444.79999998</v>
      </c>
      <c r="L58" s="127">
        <f>IF(H58="-","-",K58*H58)</f>
        <v>0</v>
      </c>
      <c r="M58" s="128">
        <f>IF($H58="-","-",(($K58/(-0.8+1)*((1/(1-$H58))^(-0.8+1)-1))))</f>
        <v>0</v>
      </c>
      <c r="N58" s="128">
        <f>IF($H58="-","-",(($K58/(-1.2+1)*((1/(1-$H58))^(-1.2+1)-1))))</f>
        <v>0</v>
      </c>
      <c r="O58" s="57"/>
    </row>
    <row r="59" spans="1:14" ht="16.5">
      <c r="A59" s="2"/>
      <c r="I59" s="205"/>
      <c r="J59" s="206"/>
      <c r="K59" s="207"/>
      <c r="L59" s="208"/>
      <c r="M59" s="209"/>
      <c r="N59" s="209"/>
    </row>
    <row r="60" spans="1:14" ht="30" customHeight="1">
      <c r="A60" s="210" t="s">
        <v>243</v>
      </c>
      <c r="B60" s="210" t="s">
        <v>248</v>
      </c>
      <c r="C60" s="210"/>
      <c r="D60" s="210"/>
      <c r="E60" s="210"/>
      <c r="F60" s="211">
        <f>AVERAGE(F9:F58)</f>
        <v>0.17692307692307693</v>
      </c>
      <c r="G60" s="211">
        <f>AVERAGE(G9:G58)</f>
        <v>0.3615384615384616</v>
      </c>
      <c r="H60" s="211">
        <f>AVERAGE(H9:H58)</f>
        <v>0.2692307692307693</v>
      </c>
      <c r="I60" s="212">
        <f>AVERAGE(I9:I58)</f>
        <v>660.1799999999998</v>
      </c>
      <c r="J60" s="213">
        <f>AVERAGE(J9:J58)</f>
        <v>190381.92</v>
      </c>
      <c r="K60" s="214">
        <f>SUM(K9:K58)</f>
        <v>3494404994.7000003</v>
      </c>
      <c r="L60" s="215">
        <f>SUM(L9:L58)</f>
        <v>148301472.68</v>
      </c>
      <c r="M60" s="216">
        <f>SUM(M9:M58)</f>
        <v>517161292.05012256</v>
      </c>
      <c r="N60" s="216">
        <f>SUM(N9:N58)</f>
        <v>304282447.7727835</v>
      </c>
    </row>
  </sheetData>
  <sheetProtection selectLockedCells="1" selectUnlockedCells="1"/>
  <mergeCells count="10">
    <mergeCell ref="A2:N2"/>
    <mergeCell ref="A3:N3"/>
    <mergeCell ref="P3:V3"/>
    <mergeCell ref="F4:H4"/>
    <mergeCell ref="I4:N4"/>
    <mergeCell ref="M5:N5"/>
    <mergeCell ref="U5:V5"/>
    <mergeCell ref="B6:D6"/>
    <mergeCell ref="E6:H6"/>
    <mergeCell ref="A60:E6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L67"/>
  <sheetViews>
    <sheetView zoomScale="90" zoomScaleNormal="90" workbookViewId="0" topLeftCell="A7">
      <selection activeCell="A9" sqref="A9:A63"/>
    </sheetView>
  </sheetViews>
  <sheetFormatPr defaultColWidth="11.00390625" defaultRowHeight="12.75"/>
  <cols>
    <col min="1" max="1" width="10.75390625" style="1" customWidth="1"/>
    <col min="2" max="2" width="14.00390625" style="2" customWidth="1"/>
    <col min="3" max="3" width="40.75390625" style="3" customWidth="1"/>
    <col min="4" max="4" width="12.75390625" style="1" customWidth="1"/>
    <col min="5" max="5" width="11.75390625" style="4" customWidth="1"/>
    <col min="6" max="8" width="10.75390625" style="4" customWidth="1"/>
    <col min="9" max="9" width="14.625" style="1" customWidth="1"/>
    <col min="10" max="10" width="14.00390625" style="1" customWidth="1"/>
    <col min="11" max="11" width="16.875" style="5" customWidth="1"/>
    <col min="12" max="12" width="15.75390625" style="6" customWidth="1"/>
    <col min="13" max="14" width="15.75390625" style="7" customWidth="1"/>
    <col min="15" max="15" width="10.75390625" style="1" customWidth="1"/>
    <col min="16" max="16" width="12.375" style="1" customWidth="1"/>
    <col min="17" max="17" width="14.125" style="1" customWidth="1"/>
    <col min="18" max="18" width="24.75390625" style="1" customWidth="1"/>
    <col min="19" max="19" width="21.25390625" style="1" customWidth="1"/>
    <col min="20" max="20" width="14.125" style="1" customWidth="1"/>
    <col min="21" max="22" width="18.75390625" style="1" customWidth="1"/>
    <col min="23" max="245" width="10.75390625" style="1" customWidth="1"/>
    <col min="246" max="16384" width="10.75390625" style="0" customWidth="1"/>
  </cols>
  <sheetData>
    <row r="1" spans="2:14" s="8" customFormat="1" ht="12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36.75" customHeight="1">
      <c r="A2" s="244" t="s">
        <v>283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22" s="11" customFormat="1" ht="60.75" customHeight="1">
      <c r="A3" s="244" t="s">
        <v>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P3" s="12" t="s">
        <v>2</v>
      </c>
      <c r="Q3" s="12"/>
      <c r="R3" s="12"/>
      <c r="S3" s="12"/>
      <c r="T3" s="12"/>
      <c r="U3" s="12"/>
      <c r="V3" s="12"/>
    </row>
    <row r="4" spans="6:246" ht="61.5" customHeight="1">
      <c r="F4" s="13" t="s">
        <v>3</v>
      </c>
      <c r="G4" s="13"/>
      <c r="H4" s="13"/>
      <c r="I4" s="14" t="s">
        <v>4</v>
      </c>
      <c r="J4" s="14"/>
      <c r="K4" s="14"/>
      <c r="L4" s="14"/>
      <c r="M4" s="14"/>
      <c r="N4" s="14"/>
      <c r="IL4" s="1"/>
    </row>
    <row r="5" spans="1:246" ht="78.75" customHeight="1">
      <c r="A5" s="15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8" t="s">
        <v>11</v>
      </c>
      <c r="H5" s="17" t="s">
        <v>12</v>
      </c>
      <c r="I5" s="19" t="s">
        <v>13</v>
      </c>
      <c r="J5" s="19" t="s">
        <v>14</v>
      </c>
      <c r="K5" s="20" t="s">
        <v>15</v>
      </c>
      <c r="L5" s="21" t="s">
        <v>16</v>
      </c>
      <c r="M5" s="22" t="s">
        <v>17</v>
      </c>
      <c r="N5" s="22"/>
      <c r="P5" s="16" t="s">
        <v>8</v>
      </c>
      <c r="Q5" s="23" t="s">
        <v>18</v>
      </c>
      <c r="R5" s="20" t="s">
        <v>15</v>
      </c>
      <c r="S5" s="21" t="s">
        <v>16</v>
      </c>
      <c r="T5" s="24" t="s">
        <v>19</v>
      </c>
      <c r="U5" s="22" t="s">
        <v>17</v>
      </c>
      <c r="V5" s="22"/>
      <c r="IL5" s="1"/>
    </row>
    <row r="6" spans="1:246" ht="47.25" customHeight="1">
      <c r="A6" s="25"/>
      <c r="B6" s="26" t="s">
        <v>20</v>
      </c>
      <c r="C6" s="26"/>
      <c r="D6" s="26"/>
      <c r="E6" s="27" t="s">
        <v>21</v>
      </c>
      <c r="F6" s="27"/>
      <c r="G6" s="27"/>
      <c r="H6" s="27"/>
      <c r="I6" s="28" t="s">
        <v>20</v>
      </c>
      <c r="J6" s="28" t="s">
        <v>22</v>
      </c>
      <c r="K6" s="29" t="s">
        <v>23</v>
      </c>
      <c r="L6" s="30" t="s">
        <v>24</v>
      </c>
      <c r="M6" s="31">
        <v>-0.8</v>
      </c>
      <c r="N6" s="31">
        <v>-1.2</v>
      </c>
      <c r="P6" s="32"/>
      <c r="Q6" s="33" t="s">
        <v>25</v>
      </c>
      <c r="R6" s="29" t="s">
        <v>23</v>
      </c>
      <c r="S6" s="30" t="s">
        <v>26</v>
      </c>
      <c r="T6" s="34" t="s">
        <v>27</v>
      </c>
      <c r="U6" s="31">
        <v>-0.8</v>
      </c>
      <c r="V6" s="31">
        <v>-1.2</v>
      </c>
      <c r="IL6" s="1"/>
    </row>
    <row r="7" spans="2:246" ht="27.75" customHeight="1">
      <c r="B7" s="35"/>
      <c r="C7" s="36"/>
      <c r="D7" s="37"/>
      <c r="E7" s="38"/>
      <c r="F7" s="39"/>
      <c r="G7" s="39"/>
      <c r="H7" s="39"/>
      <c r="I7" s="19" t="s">
        <v>28</v>
      </c>
      <c r="J7" s="19" t="s">
        <v>29</v>
      </c>
      <c r="K7" s="40" t="s">
        <v>30</v>
      </c>
      <c r="L7" s="41" t="s">
        <v>30</v>
      </c>
      <c r="M7" s="42" t="s">
        <v>30</v>
      </c>
      <c r="N7" s="42" t="s">
        <v>30</v>
      </c>
      <c r="P7" s="43"/>
      <c r="Q7" s="19"/>
      <c r="R7" s="40"/>
      <c r="S7" s="41"/>
      <c r="T7" s="44"/>
      <c r="U7" s="42"/>
      <c r="V7" s="42"/>
      <c r="IL7" s="1"/>
    </row>
    <row r="8" spans="2:246" ht="16.5">
      <c r="B8" s="35"/>
      <c r="C8" s="36"/>
      <c r="D8" s="37"/>
      <c r="E8" s="38"/>
      <c r="F8" s="39"/>
      <c r="G8" s="39"/>
      <c r="H8" s="39"/>
      <c r="I8" s="19"/>
      <c r="J8" s="19"/>
      <c r="K8" s="40"/>
      <c r="L8" s="41"/>
      <c r="M8" s="42"/>
      <c r="N8" s="42"/>
      <c r="P8" s="43"/>
      <c r="Q8" s="43"/>
      <c r="R8" s="40"/>
      <c r="S8" s="45"/>
      <c r="T8" s="44"/>
      <c r="U8" s="46"/>
      <c r="V8" s="46"/>
      <c r="IL8" s="1"/>
    </row>
    <row r="9" spans="1:22" ht="29.25">
      <c r="A9" s="47" t="s">
        <v>31</v>
      </c>
      <c r="B9" s="47" t="s">
        <v>32</v>
      </c>
      <c r="C9" s="48" t="s">
        <v>33</v>
      </c>
      <c r="D9" s="49" t="s">
        <v>34</v>
      </c>
      <c r="E9" s="50" t="s">
        <v>35</v>
      </c>
      <c r="F9" s="51">
        <v>0.4</v>
      </c>
      <c r="G9" s="51">
        <v>0.9</v>
      </c>
      <c r="H9" s="51">
        <v>0.65</v>
      </c>
      <c r="I9" s="52">
        <v>687.9</v>
      </c>
      <c r="J9" s="53">
        <v>42912</v>
      </c>
      <c r="K9" s="54">
        <f>IF(J9="-",0,I9*J9)</f>
        <v>29519164.8</v>
      </c>
      <c r="L9" s="55">
        <f>IF(H9="-","-",$K9*H9)</f>
        <v>19187457.12</v>
      </c>
      <c r="M9" s="56">
        <f>IF($H9="-","-",(($K9/(-0.8+1)*((1/(1-$H9))^(-0.8+1)-1))))</f>
        <v>34483428.207163565</v>
      </c>
      <c r="N9" s="56">
        <f>IF($H9="-","-",(($K9/(-1.2+1)*((1/(1-$H9))^(-1.2+1)-1))))</f>
        <v>27952718.054830126</v>
      </c>
      <c r="O9" s="57"/>
      <c r="P9" s="58" t="s">
        <v>36</v>
      </c>
      <c r="Q9" s="59">
        <f>SUMIF($D$9:$D$65,$P9,$K$9:$K$65)/SUMIF($D$9:$D$65,$P9,$J$9:$J$65)</f>
        <v>248.48526321726513</v>
      </c>
      <c r="R9" s="217">
        <f>SUMIF($D$9:$D$65,$P9,$K$9:$K$65)</f>
        <v>48461832.4</v>
      </c>
      <c r="S9" s="218">
        <f>SUMIF($D$9:$D$65,$P9,$L$9:$L$65)</f>
        <v>0</v>
      </c>
      <c r="T9" s="62">
        <f>IF(R9=0,"-",S9/R9)</f>
        <v>0</v>
      </c>
      <c r="U9" s="219">
        <f>SUMIF($D$9:$D$65,$P9,$M$9:$M$65)</f>
        <v>0</v>
      </c>
      <c r="V9" s="219">
        <f>SUMIF($D$9:$D$65,$P9,$N$9:$N$65)</f>
        <v>0</v>
      </c>
    </row>
    <row r="10" spans="1:22" ht="16.5">
      <c r="A10" s="64" t="s">
        <v>37</v>
      </c>
      <c r="B10" s="64" t="s">
        <v>38</v>
      </c>
      <c r="C10" s="65" t="s">
        <v>39</v>
      </c>
      <c r="D10" s="66" t="s">
        <v>40</v>
      </c>
      <c r="E10" s="67" t="s">
        <v>35</v>
      </c>
      <c r="F10" s="68">
        <v>0.4</v>
      </c>
      <c r="G10" s="68">
        <v>0.9</v>
      </c>
      <c r="H10" s="68">
        <v>0.65</v>
      </c>
      <c r="I10" s="69">
        <v>342.2</v>
      </c>
      <c r="J10" s="70">
        <v>9728</v>
      </c>
      <c r="K10" s="71">
        <f>IF(J10="-",0,I10*J10)</f>
        <v>3328921.6</v>
      </c>
      <c r="L10" s="72">
        <f>IF(H10="-","-",K10*H10)</f>
        <v>2163799.04</v>
      </c>
      <c r="M10" s="73">
        <f>IF($H10="-","-",(($K10/(-0.8+1)*((1/(1-$H10))^(-0.8+1)-1))))</f>
        <v>3888749.2169451923</v>
      </c>
      <c r="N10" s="73">
        <f>IF($H10="-","-",(($K10/(-1.2+1)*((1/(1-$H10))^(-1.2+1)-1))))</f>
        <v>3152270.992146566</v>
      </c>
      <c r="O10" s="57"/>
      <c r="P10" s="66" t="s">
        <v>40</v>
      </c>
      <c r="Q10" s="74">
        <f>SUMIF($D$9:$D$65,$P10,$K$9:$K$65)/SUMIF($D$9:$D$65,$P10,$J$9:$J$65)</f>
        <v>266.42259950093677</v>
      </c>
      <c r="R10" s="220">
        <f>SUMIF($D$9:$D$65,$P10,$K$9:$K$65)</f>
        <v>970103830.5999999</v>
      </c>
      <c r="S10" s="221">
        <f>SUMIF($D$9:$D$65,$P10,$L$9:$L$65)</f>
        <v>60354261.29000001</v>
      </c>
      <c r="T10" s="77">
        <f>IF(R10=0,"-",S10/R10)</f>
        <v>0.0622142284013779</v>
      </c>
      <c r="U10" s="222">
        <f>SUMIF($D$9:$D$65,$P10,$M$9:$M$65)</f>
        <v>82181150.07683262</v>
      </c>
      <c r="V10" s="222">
        <f>SUMIF($D$9:$D$65,$P10,$N$9:$N$65)</f>
        <v>72853479.27526934</v>
      </c>
    </row>
    <row r="11" spans="1:22" ht="29.25">
      <c r="A11" s="64" t="s">
        <v>41</v>
      </c>
      <c r="B11" s="64" t="s">
        <v>42</v>
      </c>
      <c r="C11" s="65" t="s">
        <v>43</v>
      </c>
      <c r="D11" s="66" t="s">
        <v>40</v>
      </c>
      <c r="E11" s="67" t="s">
        <v>35</v>
      </c>
      <c r="F11" s="68">
        <v>0.4</v>
      </c>
      <c r="G11" s="68">
        <v>0.9</v>
      </c>
      <c r="H11" s="68">
        <v>0.65</v>
      </c>
      <c r="I11" s="69">
        <v>745.8</v>
      </c>
      <c r="J11" s="70">
        <v>6919</v>
      </c>
      <c r="K11" s="71">
        <f>IF(J11="-",0,I11*J11)</f>
        <v>5160190.199999999</v>
      </c>
      <c r="L11" s="72">
        <f>IF(H11="-","-",K11*H11)</f>
        <v>3354123.6299999994</v>
      </c>
      <c r="M11" s="73">
        <f>IF($H11="-","-",(($K11/(-0.8+1)*((1/(1-$H11))^(-0.8+1)-1))))</f>
        <v>6027983.837029461</v>
      </c>
      <c r="N11" s="73">
        <f>IF($H11="-","-",(($K11/(-1.2+1)*((1/(1-$H11))^(-1.2+1)-1))))</f>
        <v>4886362.563005084</v>
      </c>
      <c r="O11" s="57"/>
      <c r="P11" s="79" t="s">
        <v>44</v>
      </c>
      <c r="Q11" s="80">
        <f>SUMIF($D$9:$D$65,$P11,$K$9:$K$65)/SUMIF($D$9:$D$65,$P11,$J$9:$J$65)</f>
        <v>396.48380809879166</v>
      </c>
      <c r="R11" s="223">
        <f>SUMIF($D$9:$D$65,$P11,$K$9:$K$65)</f>
        <v>41867104.2</v>
      </c>
      <c r="S11" s="224">
        <f>SUMIF($D$9:$D$65,$P11,$L$9:$L$65)</f>
        <v>88150.65000000001</v>
      </c>
      <c r="T11" s="83">
        <f>IF(R11=0,"-",S11/R11)</f>
        <v>0.0021054871523691386</v>
      </c>
      <c r="U11" s="225">
        <f>SUMIF($D$9:$D$65,$P11,$M$9:$M$65)</f>
        <v>104412.40167898954</v>
      </c>
      <c r="V11" s="225">
        <f>SUMIF($D$9:$D$65,$P11,$N$9:$N$65)</f>
        <v>98574.444449441</v>
      </c>
    </row>
    <row r="12" spans="1:22" ht="42.75">
      <c r="A12" s="85" t="s">
        <v>45</v>
      </c>
      <c r="B12" s="85" t="s">
        <v>46</v>
      </c>
      <c r="C12" s="86" t="s">
        <v>47</v>
      </c>
      <c r="D12" s="87" t="s">
        <v>48</v>
      </c>
      <c r="E12" s="88" t="s">
        <v>49</v>
      </c>
      <c r="F12" s="89" t="str">
        <f>IF(E12="No aumenta",0,IF(E12="Pequeña",0,IF(E12="Moderada",0.1,IF(E12="Grande",0.4,IF(E12="Esencial",0.9,"-")))))</f>
        <v>-</v>
      </c>
      <c r="G12" s="89" t="str">
        <f>IF(E12="No aumenta",0,IF(E12="Pequeña",0.1,IF(E12="Moderada",0.4,IF(E12="Grande",0.9,IF(E12="Esencial",1,"-")))))</f>
        <v>-</v>
      </c>
      <c r="H12" s="89" t="str">
        <f>IF(F12="-","-",AVERAGE(F12:G12))</f>
        <v>-</v>
      </c>
      <c r="I12" s="90">
        <v>661.2</v>
      </c>
      <c r="J12" s="91">
        <v>44428</v>
      </c>
      <c r="K12" s="92">
        <f>IF(J12="-",0,I12*J12)</f>
        <v>29375793.6</v>
      </c>
      <c r="L12" s="93" t="str">
        <f>IF(H12="-","-",K12*H12)</f>
        <v>-</v>
      </c>
      <c r="M12" s="94" t="str">
        <f>IF($H12="-","-",(($K12/(-0.8+1)*((1/(1-$H12))^(-0.8+1)-1))))</f>
        <v>-</v>
      </c>
      <c r="N12" s="94" t="str">
        <f>IF($H12="-","-",(($K12/(-1.2+1)*((1/(1-$H12))^(-1.2+1)-1))))</f>
        <v>-</v>
      </c>
      <c r="O12" s="57"/>
      <c r="P12" s="95" t="s">
        <v>50</v>
      </c>
      <c r="Q12" s="96">
        <f>SUMIF($D$9:$D$65,$P12,$K$9:$K$65)/SUMIF($D$9:$D$65,$P12,$J$9:$J$65)</f>
        <v>253.85705574912893</v>
      </c>
      <c r="R12" s="226">
        <f>SUMIF($D$9:$D$65,$P12,$K$9:$K$65)</f>
        <v>291427.9</v>
      </c>
      <c r="S12" s="227">
        <f>SUMIF($D$9:$D$65,$P12,$L$9:$L$65)</f>
        <v>9514.72</v>
      </c>
      <c r="T12" s="99">
        <f>IF(R12=0,"-",S12/R12)</f>
        <v>0.03264862423947741</v>
      </c>
      <c r="U12" s="228">
        <f>SUMIF($D$9:$D$65,$P12,$M$9:$M$65)</f>
        <v>11070.586076257123</v>
      </c>
      <c r="V12" s="228">
        <f>SUMIF($D$9:$D$65,$P12,$N$9:$N$65)</f>
        <v>10512.885924060654</v>
      </c>
    </row>
    <row r="13" spans="1:22" ht="29.25">
      <c r="A13" s="64" t="s">
        <v>55</v>
      </c>
      <c r="B13" s="64" t="s">
        <v>56</v>
      </c>
      <c r="C13" s="65" t="s">
        <v>57</v>
      </c>
      <c r="D13" s="66" t="s">
        <v>40</v>
      </c>
      <c r="E13" s="67" t="s">
        <v>35</v>
      </c>
      <c r="F13" s="68">
        <v>0.4</v>
      </c>
      <c r="G13" s="68">
        <v>0.9</v>
      </c>
      <c r="H13" s="68">
        <v>0.65</v>
      </c>
      <c r="I13" s="69">
        <v>1312.2</v>
      </c>
      <c r="J13" s="70">
        <v>981</v>
      </c>
      <c r="K13" s="71">
        <f>IF(J13="-",0,I13*J13)</f>
        <v>1287268.2</v>
      </c>
      <c r="L13" s="72">
        <f>IF(H13="-","-",K13*H13)</f>
        <v>836724.33</v>
      </c>
      <c r="M13" s="73">
        <f>IF($H13="-","-",(($K13/(-0.8+1)*((1/(1-$H13))^(-0.8+1)-1))))</f>
        <v>1503749.2035704434</v>
      </c>
      <c r="N13" s="73">
        <f>IF($H13="-","-",(($K13/(-1.2+1)*((1/(1-$H13))^(-1.2+1)-1))))</f>
        <v>1218958.7781138264</v>
      </c>
      <c r="O13" s="57"/>
      <c r="P13" s="101" t="s">
        <v>54</v>
      </c>
      <c r="Q13" s="102">
        <f>SUMIF($D$9:$D$65,$P13,$K$9:$K$65)/SUMIF($D$9:$D$65,$P13,$J$9:$J$65)</f>
        <v>234.21040268456377</v>
      </c>
      <c r="R13" s="229">
        <f>SUMIF($D$9:$D$65,$P13,$K$9:$K$65)</f>
        <v>11306741.4</v>
      </c>
      <c r="S13" s="230">
        <f>SUMIF($D$9:$D$65,$P13,$L$9:$L$65)</f>
        <v>0</v>
      </c>
      <c r="T13" s="105">
        <f>IF(R13=0,"-",S13/R13)</f>
        <v>0</v>
      </c>
      <c r="U13" s="231">
        <f>SUMIF($D$9:$D$65,$P13,$M$9:$M$65)</f>
        <v>0</v>
      </c>
      <c r="V13" s="231">
        <f>SUMIF($D$9:$D$65,$P13,$N$9:$N$65)</f>
        <v>0</v>
      </c>
    </row>
    <row r="14" spans="1:22" ht="42.75">
      <c r="A14" s="64" t="s">
        <v>59</v>
      </c>
      <c r="B14" s="64" t="s">
        <v>60</v>
      </c>
      <c r="C14" s="65" t="s">
        <v>61</v>
      </c>
      <c r="D14" s="66" t="s">
        <v>40</v>
      </c>
      <c r="E14" s="67" t="s">
        <v>62</v>
      </c>
      <c r="F14" s="68" t="s">
        <v>63</v>
      </c>
      <c r="G14" s="68" t="s">
        <v>63</v>
      </c>
      <c r="H14" s="68" t="s">
        <v>63</v>
      </c>
      <c r="I14" s="69">
        <v>580.2</v>
      </c>
      <c r="J14" s="70">
        <v>3</v>
      </c>
      <c r="K14" s="71">
        <f>IF(J14="-",0,I14*J14)</f>
        <v>1740.6000000000001</v>
      </c>
      <c r="L14" s="72" t="str">
        <f>IF(H14="-","-",K14*H14)</f>
        <v>-</v>
      </c>
      <c r="M14" s="73" t="str">
        <f>IF($H14="-","-",(($K14/(-0.8+1)*((1/(1-$H14))^(-0.8+1)-1))))</f>
        <v>-</v>
      </c>
      <c r="N14" s="73" t="str">
        <f>IF($H14="-","-",(($K14/(-1.2+1)*((1/(1-$H14))^(-1.2+1)-1))))</f>
        <v>-</v>
      </c>
      <c r="O14" s="57"/>
      <c r="P14" s="107" t="s">
        <v>58</v>
      </c>
      <c r="Q14" s="108">
        <f>SUMIF($D$9:$D$65,$P14,$K$9:$K$65)/SUMIF($D$9:$D$65,$P14,$J$9:$J$65)</f>
        <v>3476.8999999999996</v>
      </c>
      <c r="R14" s="250">
        <f>SUMIF($D$9:$D$65,$P14,$K$9:$K$65)</f>
        <v>535442.6</v>
      </c>
      <c r="S14" s="251">
        <f>SUMIF($D$9:$D$65,$P14,$L$9:$L$65)</f>
        <v>26772.13</v>
      </c>
      <c r="T14" s="111">
        <f>IF(R14=0,"-",S14/R14)</f>
        <v>0.05</v>
      </c>
      <c r="U14" s="252">
        <f>SUMIF($D$9:$D$65,$P14,$M$9:$M$65)</f>
        <v>27605.972934949637</v>
      </c>
      <c r="V14" s="252">
        <f>SUMIF($D$9:$D$65,$P14,$N$9:$N$65)</f>
        <v>27324.22034843245</v>
      </c>
    </row>
    <row r="15" spans="1:22" ht="16.5">
      <c r="A15" s="119" t="s">
        <v>65</v>
      </c>
      <c r="B15" s="119" t="s">
        <v>66</v>
      </c>
      <c r="C15" s="120" t="s">
        <v>67</v>
      </c>
      <c r="D15" s="121" t="s">
        <v>36</v>
      </c>
      <c r="E15" s="122" t="s">
        <v>68</v>
      </c>
      <c r="F15" s="123">
        <v>0</v>
      </c>
      <c r="G15" s="123">
        <v>0</v>
      </c>
      <c r="H15" s="123">
        <v>0</v>
      </c>
      <c r="I15" s="124">
        <v>194.8</v>
      </c>
      <c r="J15" s="125">
        <v>40583</v>
      </c>
      <c r="K15" s="126">
        <f>IF(J15="-",0,I15*J15)</f>
        <v>7905568.4</v>
      </c>
      <c r="L15" s="127">
        <f>IF(H15="-","-",K15*H15)</f>
        <v>0</v>
      </c>
      <c r="M15" s="128">
        <f>IF($H15="-","-",(($K15/(-0.8+1)*((1/(1-$H15))^(-0.8+1)-1))))</f>
        <v>0</v>
      </c>
      <c r="N15" s="128">
        <f>IF($H15="-","-",(($K15/(-1.2+1)*((1/(1-$H15))^(-1.2+1)-1))))</f>
        <v>0</v>
      </c>
      <c r="O15" s="57"/>
      <c r="P15" s="49" t="s">
        <v>34</v>
      </c>
      <c r="Q15" s="129">
        <f>SUMIF($D$9:$D$65,$P15,$K$9:$K$65)/SUMIF($D$9:$D$65,$P15,$J$9:$J$65)</f>
        <v>739.7034586264057</v>
      </c>
      <c r="R15" s="232">
        <f>SUMIF($D$9:$D$65,$P15,$K$9:$K$65)</f>
        <v>33021841.8</v>
      </c>
      <c r="S15" s="233">
        <f>SUMIF($D$9:$D$65,$P15,$L$9:$L$65)</f>
        <v>19187457.12</v>
      </c>
      <c r="T15" s="132">
        <f>IF(R15=0,"-",S15/R15)</f>
        <v>0.581053511073389</v>
      </c>
      <c r="U15" s="234">
        <f>SUMIF($D$9:$D$65,$P15,$M$9:$M$65)</f>
        <v>34483428.207163565</v>
      </c>
      <c r="V15" s="234">
        <f>SUMIF($D$9:$D$65,$P15,$N$9:$N$65)</f>
        <v>27952718.054830126</v>
      </c>
    </row>
    <row r="16" spans="1:22" ht="42.75">
      <c r="A16" s="134" t="s">
        <v>69</v>
      </c>
      <c r="B16" s="134" t="s">
        <v>70</v>
      </c>
      <c r="C16" s="135" t="s">
        <v>71</v>
      </c>
      <c r="D16" s="95" t="s">
        <v>50</v>
      </c>
      <c r="E16" s="136" t="s">
        <v>72</v>
      </c>
      <c r="F16" s="137">
        <v>0</v>
      </c>
      <c r="G16" s="137">
        <v>0.1</v>
      </c>
      <c r="H16" s="137">
        <v>0.05</v>
      </c>
      <c r="I16" s="138">
        <v>1857.6</v>
      </c>
      <c r="J16" s="139">
        <v>14</v>
      </c>
      <c r="K16" s="140">
        <f>IF(J16="-",0,I16*J16)</f>
        <v>26006.399999999998</v>
      </c>
      <c r="L16" s="141">
        <f>IF(H16="-","-",K16*H16)</f>
        <v>1300.32</v>
      </c>
      <c r="M16" s="142">
        <f>IF($H16="-","-",(($K16/(-0.8+1)*((1/(1-$H16))^(-0.8+1)-1))))</f>
        <v>1340.8196780298656</v>
      </c>
      <c r="N16" s="142">
        <f>IF($H16="-","-",(($K16/(-1.2+1)*((1/(1-$H16))^(-1.2+1)-1))))</f>
        <v>1327.1349796775107</v>
      </c>
      <c r="O16" s="57"/>
      <c r="P16" s="87" t="s">
        <v>48</v>
      </c>
      <c r="Q16" s="143">
        <f>SUMIF($D$9:$D$65,$P16,$K$9:$K$65)/SUMIF($D$9:$D$65,$P16,$J$9:$J$65)</f>
        <v>394.52766168794085</v>
      </c>
      <c r="R16" s="235">
        <f>SUMIF($D$9:$D$65,$P16,$K$9:$K$65)</f>
        <v>196204918.6</v>
      </c>
      <c r="S16" s="236">
        <f>SUMIF($D$9:$D$65,$P16,$L$9:$L$65)</f>
        <v>34252743.019999996</v>
      </c>
      <c r="T16" s="146">
        <f>IF(R16=0,"-",S16/R16)</f>
        <v>0.17457637282697558</v>
      </c>
      <c r="U16" s="237">
        <f>SUMIF($D$9:$D$65,$P16,$M$9:$M$65)</f>
        <v>132229700.50856805</v>
      </c>
      <c r="V16" s="237">
        <f>SUMIF($D$9:$D$65,$P16,$N$9:$N$65)</f>
        <v>74968646.59321584</v>
      </c>
    </row>
    <row r="17" spans="1:22" ht="29.25">
      <c r="A17" s="85" t="s">
        <v>73</v>
      </c>
      <c r="B17" s="85" t="s">
        <v>74</v>
      </c>
      <c r="C17" s="86" t="s">
        <v>75</v>
      </c>
      <c r="D17" s="87" t="s">
        <v>48</v>
      </c>
      <c r="E17" s="88" t="s">
        <v>72</v>
      </c>
      <c r="F17" s="89">
        <v>0</v>
      </c>
      <c r="G17" s="89">
        <v>0.1</v>
      </c>
      <c r="H17" s="89">
        <v>0.05</v>
      </c>
      <c r="I17" s="90">
        <v>1536</v>
      </c>
      <c r="J17" s="91">
        <v>5363</v>
      </c>
      <c r="K17" s="92">
        <f>IF(J17="-",0,I17*J17)</f>
        <v>8237568</v>
      </c>
      <c r="L17" s="93">
        <f>IF(H17="-","-",K17*H17)</f>
        <v>411878.4</v>
      </c>
      <c r="M17" s="94">
        <f>IF($H17="-","-",(($K17/(-0.8+1)*((1/(1-$H17))^(-0.8+1)-1))))</f>
        <v>424706.7365536608</v>
      </c>
      <c r="N17" s="94">
        <f>IF($H17="-","-",(($K17/(-1.2+1)*((1/(1-$H17))^(-1.2+1)-1))))</f>
        <v>420372.08688138745</v>
      </c>
      <c r="O17" s="57"/>
      <c r="P17" s="57"/>
      <c r="Q17" s="57"/>
      <c r="R17" s="238"/>
      <c r="S17" s="239"/>
      <c r="T17" s="150"/>
      <c r="U17" s="240"/>
      <c r="V17" s="240"/>
    </row>
    <row r="18" spans="1:22" ht="42.75">
      <c r="A18" s="134" t="s">
        <v>254</v>
      </c>
      <c r="B18" s="134" t="s">
        <v>77</v>
      </c>
      <c r="C18" s="135" t="s">
        <v>78</v>
      </c>
      <c r="D18" s="95" t="s">
        <v>50</v>
      </c>
      <c r="E18" s="136" t="s">
        <v>79</v>
      </c>
      <c r="F18" s="137">
        <v>0.1</v>
      </c>
      <c r="G18" s="137">
        <v>0.4</v>
      </c>
      <c r="H18" s="137">
        <v>0.25</v>
      </c>
      <c r="I18" s="138">
        <v>256.7</v>
      </c>
      <c r="J18" s="139">
        <v>128</v>
      </c>
      <c r="K18" s="140">
        <f>IF(J18="-",0,I18*J18)</f>
        <v>32857.6</v>
      </c>
      <c r="L18" s="141">
        <f>IF(H18="-","-",K18*H18)</f>
        <v>8214.4</v>
      </c>
      <c r="M18" s="142">
        <f>IF($H18="-","-",(($K18/(-0.8+1)*((1/(1-$H18))^(-0.8+1)-1))))</f>
        <v>9729.766398227257</v>
      </c>
      <c r="N18" s="142">
        <f>IF($H18="-","-",(($K18/(-1.2+1)*((1/(1-$H18))^(-1.2+1)-1))))</f>
        <v>9185.750944383144</v>
      </c>
      <c r="O18" s="57"/>
      <c r="P18" s="152" t="s">
        <v>80</v>
      </c>
      <c r="Q18" s="152"/>
      <c r="R18" s="241">
        <f>SUM(R9:R16)</f>
        <v>1301793139.5</v>
      </c>
      <c r="S18" s="242">
        <f>SUM(S9:S16)</f>
        <v>113918898.93</v>
      </c>
      <c r="T18" s="155">
        <f>IF(R18=0,"-",S18/R18)</f>
        <v>0.08750921745812443</v>
      </c>
      <c r="U18" s="243">
        <f>SUM(U9:U16)</f>
        <v>249037367.75325444</v>
      </c>
      <c r="V18" s="243">
        <f>SUM(V9:V16)</f>
        <v>175911255.47403723</v>
      </c>
    </row>
    <row r="19" spans="1:15" ht="42.75">
      <c r="A19" s="85" t="s">
        <v>81</v>
      </c>
      <c r="B19" s="85" t="s">
        <v>82</v>
      </c>
      <c r="C19" s="86" t="s">
        <v>83</v>
      </c>
      <c r="D19" s="87" t="s">
        <v>48</v>
      </c>
      <c r="E19" s="88" t="s">
        <v>49</v>
      </c>
      <c r="F19" s="89" t="str">
        <f>IF(E19="No aumenta",0,IF(E19="Pequeña",0,IF(E19="Moderada",0.1,IF(E19="Grande",0.4,IF(E19="Esencial",0.9,"-")))))</f>
        <v>-</v>
      </c>
      <c r="G19" s="89" t="str">
        <f>IF(E19="No aumenta",0,IF(E19="Pequeña",0.1,IF(E19="Moderada",0.4,IF(E19="Grande",0.9,IF(E19="Esencial",1,"-")))))</f>
        <v>-</v>
      </c>
      <c r="H19" s="89" t="str">
        <f>IF(F19="-","-",AVERAGE(F19:G19))</f>
        <v>-</v>
      </c>
      <c r="I19" s="90">
        <v>247</v>
      </c>
      <c r="J19" s="91">
        <v>25529</v>
      </c>
      <c r="K19" s="92">
        <f>IF(J19="-",0,I19*J19)</f>
        <v>6305663</v>
      </c>
      <c r="L19" s="93" t="str">
        <f>IF(H19="-","-",K19*H19)</f>
        <v>-</v>
      </c>
      <c r="M19" s="94" t="str">
        <f>IF($H19="-","-",(($K19/(-0.8+1)*((1/(1-$H19))^(-0.8+1)-1))))</f>
        <v>-</v>
      </c>
      <c r="N19" s="94" t="str">
        <f>IF($H19="-","-",(($K19/(-1.2+1)*((1/(1-$H19))^(-1.2+1)-1))))</f>
        <v>-</v>
      </c>
      <c r="O19" s="57"/>
    </row>
    <row r="20" spans="1:15" ht="42.75">
      <c r="A20" s="85" t="s">
        <v>84</v>
      </c>
      <c r="B20" s="85" t="s">
        <v>85</v>
      </c>
      <c r="C20" s="86" t="s">
        <v>86</v>
      </c>
      <c r="D20" s="87" t="s">
        <v>48</v>
      </c>
      <c r="E20" s="88" t="s">
        <v>49</v>
      </c>
      <c r="F20" s="89" t="str">
        <f>IF(E20="No aumenta",0,IF(E20="Pequeña",0,IF(E20="Moderada",0.1,IF(E20="Grande",0.4,IF(E20="Esencial",0.9,"-")))))</f>
        <v>-</v>
      </c>
      <c r="G20" s="89" t="str">
        <f>IF(E20="No aumenta",0,IF(E20="Pequeña",0.1,IF(E20="Moderada",0.4,IF(E20="Grande",0.9,IF(E20="Esencial",1,"-")))))</f>
        <v>-</v>
      </c>
      <c r="H20" s="89" t="str">
        <f>IF(F20="-","-",AVERAGE(F20:G20))</f>
        <v>-</v>
      </c>
      <c r="I20" s="90">
        <v>283.4</v>
      </c>
      <c r="J20" s="91">
        <v>12911</v>
      </c>
      <c r="K20" s="92">
        <f>IF(J20="-",0,I20*J20)</f>
        <v>3658977.4</v>
      </c>
      <c r="L20" s="93" t="str">
        <f>IF(H20="-","-",K20*H20)</f>
        <v>-</v>
      </c>
      <c r="M20" s="94" t="str">
        <f>IF($H20="-","-",(($K20/(-0.8+1)*((1/(1-$H20))^(-0.8+1)-1))))</f>
        <v>-</v>
      </c>
      <c r="N20" s="94" t="str">
        <f>IF($H20="-","-",(($K20/(-1.2+1)*((1/(1-$H20))^(-1.2+1)-1))))</f>
        <v>-</v>
      </c>
      <c r="O20" s="57"/>
    </row>
    <row r="21" spans="1:15" ht="42.75">
      <c r="A21" s="85" t="s">
        <v>281</v>
      </c>
      <c r="B21" s="85" t="s">
        <v>88</v>
      </c>
      <c r="C21" s="86" t="s">
        <v>83</v>
      </c>
      <c r="D21" s="87" t="s">
        <v>48</v>
      </c>
      <c r="E21" s="88" t="s">
        <v>49</v>
      </c>
      <c r="F21" s="89" t="str">
        <f>IF(E21="No aumenta",0,IF(E21="Pequeña",0,IF(E21="Moderada",0.1,IF(E21="Grande",0.4,IF(E21="Esencial",0.9,"-")))))</f>
        <v>-</v>
      </c>
      <c r="G21" s="89" t="str">
        <f>IF(E21="No aumenta",0,IF(E21="Pequeña",0.1,IF(E21="Moderada",0.4,IF(E21="Grande",0.9,IF(E21="Esencial",1,"-")))))</f>
        <v>-</v>
      </c>
      <c r="H21" s="89" t="str">
        <f>IF(F21="-","-",AVERAGE(F21:G21))</f>
        <v>-</v>
      </c>
      <c r="I21" s="90">
        <v>325.3</v>
      </c>
      <c r="J21" s="91">
        <f>23263+43510</f>
        <v>66773</v>
      </c>
      <c r="K21" s="92">
        <f>IF(J21="-",0,I21*J21)</f>
        <v>21721256.900000002</v>
      </c>
      <c r="L21" s="93" t="str">
        <f>IF(H21="-","-",K21*H21)</f>
        <v>-</v>
      </c>
      <c r="M21" s="94" t="str">
        <f>IF($H21="-","-",(($K21/(-0.8+1)*((1/(1-$H21))^(-0.8+1)-1))))</f>
        <v>-</v>
      </c>
      <c r="N21" s="94" t="str">
        <f>IF($H21="-","-",(($K21/(-1.2+1)*((1/(1-$H21))^(-1.2+1)-1))))</f>
        <v>-</v>
      </c>
      <c r="O21" s="57"/>
    </row>
    <row r="22" spans="1:15" ht="29.25">
      <c r="A22" s="64" t="s">
        <v>246</v>
      </c>
      <c r="B22" s="64" t="s">
        <v>90</v>
      </c>
      <c r="C22" s="65" t="s">
        <v>91</v>
      </c>
      <c r="D22" s="66" t="s">
        <v>40</v>
      </c>
      <c r="E22" s="67" t="s">
        <v>35</v>
      </c>
      <c r="F22" s="68">
        <f>IF(E22="No aumenta",0,IF(E22="Pequeña",0,IF(E22="Moderada",0.1,IF(E22="Grande",0.4,IF(E22="Esencial",0.9,"-")))))</f>
        <v>0.4</v>
      </c>
      <c r="G22" s="68">
        <f>IF(E22="No aumenta",0,IF(E22="Pequeña",0.1,IF(E22="Moderada",0.4,IF(E22="Grande",0.9,IF(E22="Esencial",1,"-")))))</f>
        <v>0.9</v>
      </c>
      <c r="H22" s="68">
        <f>IF(F22="-","-",AVERAGE(F22:G22))</f>
        <v>0.65</v>
      </c>
      <c r="I22" s="69">
        <v>1344.2</v>
      </c>
      <c r="J22" s="70">
        <v>3058</v>
      </c>
      <c r="K22" s="71">
        <f>IF(J22="-",0,I22*J22)</f>
        <v>4110563.6</v>
      </c>
      <c r="L22" s="72">
        <f>IF(H22="-","-",K22*H22)</f>
        <v>2671866.3400000003</v>
      </c>
      <c r="M22" s="73">
        <f>IF($H22="-","-",(($K22/(-0.8+1)*((1/(1-$H22))^(-0.8+1)-1))))</f>
        <v>4801840.626316765</v>
      </c>
      <c r="N22" s="73">
        <f>IF($H22="-","-",(($K22/(-1.2+1)*((1/(1-$H22))^(-1.2+1)-1))))</f>
        <v>3892434.834648422</v>
      </c>
      <c r="O22" s="57"/>
    </row>
    <row r="23" spans="1:15" ht="16.5">
      <c r="A23" s="134" t="s">
        <v>95</v>
      </c>
      <c r="B23" s="134" t="s">
        <v>96</v>
      </c>
      <c r="C23" s="135" t="s">
        <v>97</v>
      </c>
      <c r="D23" s="95" t="s">
        <v>50</v>
      </c>
      <c r="E23" s="136" t="s">
        <v>68</v>
      </c>
      <c r="F23" s="137">
        <v>0</v>
      </c>
      <c r="G23" s="137">
        <v>0</v>
      </c>
      <c r="H23" s="137">
        <v>0</v>
      </c>
      <c r="I23" s="138">
        <v>652.7</v>
      </c>
      <c r="J23" s="139">
        <v>14</v>
      </c>
      <c r="K23" s="140">
        <f>IF(J23="-",0,I23*J23)</f>
        <v>9137.800000000001</v>
      </c>
      <c r="L23" s="141">
        <f>IF(H23="-","-",K23*H23)</f>
        <v>0</v>
      </c>
      <c r="M23" s="142">
        <f>IF($H23="-","-",(($K23/(-0.8+1)*((1/(1-$H23))^(-0.8+1)-1))))</f>
        <v>0</v>
      </c>
      <c r="N23" s="142">
        <f>IF($H23="-","-",(($K23/(-1.2+1)*((1/(1-$H23))^(-1.2+1)-1))))</f>
        <v>0</v>
      </c>
      <c r="O23" s="57"/>
    </row>
    <row r="24" spans="1:15" ht="42.75">
      <c r="A24" s="159" t="s">
        <v>98</v>
      </c>
      <c r="B24" s="159" t="s">
        <v>99</v>
      </c>
      <c r="C24" s="160" t="s">
        <v>100</v>
      </c>
      <c r="D24" s="161" t="s">
        <v>58</v>
      </c>
      <c r="E24" s="162" t="s">
        <v>72</v>
      </c>
      <c r="F24" s="163">
        <v>0</v>
      </c>
      <c r="G24" s="163">
        <v>0.1</v>
      </c>
      <c r="H24" s="163">
        <v>0.05</v>
      </c>
      <c r="I24" s="164">
        <v>3476.9</v>
      </c>
      <c r="J24" s="165">
        <v>154</v>
      </c>
      <c r="K24" s="166">
        <f>IF(J24="-",0,I24*J24)</f>
        <v>535442.6</v>
      </c>
      <c r="L24" s="167">
        <f>IF(H24="-","-",K24*H24)</f>
        <v>26772.13</v>
      </c>
      <c r="M24" s="168">
        <f>IF($H24="-","-",(($K24/(-0.8+1)*((1/(1-$H24))^(-0.8+1)-1))))</f>
        <v>27605.972934949637</v>
      </c>
      <c r="N24" s="168">
        <f>IF($H24="-","-",(($K24/(-1.2+1)*((1/(1-$H24))^(-1.2+1)-1))))</f>
        <v>27324.22034843245</v>
      </c>
      <c r="O24" s="57"/>
    </row>
    <row r="25" spans="1:15" ht="29.25">
      <c r="A25" s="85" t="s">
        <v>101</v>
      </c>
      <c r="B25" s="85" t="s">
        <v>102</v>
      </c>
      <c r="C25" s="86" t="s">
        <v>100</v>
      </c>
      <c r="D25" s="87" t="s">
        <v>48</v>
      </c>
      <c r="E25" s="88" t="s">
        <v>72</v>
      </c>
      <c r="F25" s="89">
        <v>0</v>
      </c>
      <c r="G25" s="89">
        <v>0.1</v>
      </c>
      <c r="H25" s="89">
        <v>0.05</v>
      </c>
      <c r="I25" s="90">
        <v>708.5</v>
      </c>
      <c r="J25" s="91">
        <f>38549+84</f>
        <v>38633</v>
      </c>
      <c r="K25" s="92">
        <f>IF(J25="-",0,I25*J25)</f>
        <v>27371480.5</v>
      </c>
      <c r="L25" s="93">
        <f>IF(H25="-","-",K25*H25)</f>
        <v>1368574.0250000001</v>
      </c>
      <c r="M25" s="94">
        <f>IF($H25="-","-",(($K25/(-0.8+1)*((1/(1-$H25))^(-0.8+1)-1))))</f>
        <v>1411199.5382371552</v>
      </c>
      <c r="N25" s="94">
        <f>IF($H25="-","-",(($K25/(-1.2+1)*((1/(1-$H25))^(-1.2+1)-1))))</f>
        <v>1396796.5276666854</v>
      </c>
      <c r="O25" s="57"/>
    </row>
    <row r="26" spans="1:15" ht="29.25">
      <c r="A26" s="85" t="s">
        <v>103</v>
      </c>
      <c r="B26" s="85" t="s">
        <v>104</v>
      </c>
      <c r="C26" s="86" t="s">
        <v>105</v>
      </c>
      <c r="D26" s="87" t="s">
        <v>48</v>
      </c>
      <c r="E26" s="88" t="s">
        <v>35</v>
      </c>
      <c r="F26" s="89">
        <v>0.4</v>
      </c>
      <c r="G26" s="89">
        <v>0.9</v>
      </c>
      <c r="H26" s="89">
        <v>0.65</v>
      </c>
      <c r="I26" s="90">
        <v>371.5</v>
      </c>
      <c r="J26" s="91">
        <f>4874+120</f>
        <v>4994</v>
      </c>
      <c r="K26" s="92">
        <f>IF(J26="-",0,I26*J26)</f>
        <v>1855271</v>
      </c>
      <c r="L26" s="93">
        <f>IF(H26="-","-",K26*H26)</f>
        <v>1205926.1500000001</v>
      </c>
      <c r="M26" s="94">
        <f>IF($H26="-","-",(($K26/(-0.8+1)*((1/(1-$H26))^(-0.8+1)-1))))</f>
        <v>2167273.524396346</v>
      </c>
      <c r="N26" s="94">
        <f>IF($H26="-","-",(($K26/(-1.2+1)*((1/(1-$H26))^(-1.2+1)-1))))</f>
        <v>1756820.2735296474</v>
      </c>
      <c r="O26" s="57"/>
    </row>
    <row r="27" spans="1:15" ht="29.25">
      <c r="A27" s="85" t="s">
        <v>106</v>
      </c>
      <c r="B27" s="85" t="s">
        <v>107</v>
      </c>
      <c r="C27" s="86" t="s">
        <v>108</v>
      </c>
      <c r="D27" s="87" t="s">
        <v>48</v>
      </c>
      <c r="E27" s="88" t="s">
        <v>79</v>
      </c>
      <c r="F27" s="89">
        <v>0.1</v>
      </c>
      <c r="G27" s="89">
        <v>0.4</v>
      </c>
      <c r="H27" s="89">
        <v>0.25</v>
      </c>
      <c r="I27" s="90">
        <v>524.4</v>
      </c>
      <c r="J27" s="91">
        <v>4872</v>
      </c>
      <c r="K27" s="92">
        <f>IF(J27="-",0,I27*J27)</f>
        <v>2554876.8</v>
      </c>
      <c r="L27" s="93">
        <f>IF(H27="-","-",K27*H27)</f>
        <v>638719.2</v>
      </c>
      <c r="M27" s="94">
        <f>IF($H27="-","-",(($K27/(-0.8+1)*((1/(1-$H27))^(-0.8+1)-1))))</f>
        <v>756548.0875124896</v>
      </c>
      <c r="N27" s="94">
        <f>IF($H27="-","-",(($K27/(-1.2+1)*((1/(1-$H27))^(-1.2+1)-1))))</f>
        <v>714247.601114585</v>
      </c>
      <c r="O27" s="57"/>
    </row>
    <row r="28" spans="1:15" ht="16.5">
      <c r="A28" s="64" t="s">
        <v>109</v>
      </c>
      <c r="B28" s="64" t="s">
        <v>110</v>
      </c>
      <c r="C28" s="65" t="s">
        <v>111</v>
      </c>
      <c r="D28" s="66" t="s">
        <v>40</v>
      </c>
      <c r="E28" s="67" t="s">
        <v>79</v>
      </c>
      <c r="F28" s="68">
        <f>IF(E28="No aumenta",0,IF(E28="Pequeña",0,IF(E28="Moderada",0.1,IF(E28="Grande",0.4,IF(E28="Esencial",0.9,"-")))))</f>
        <v>0.1</v>
      </c>
      <c r="G28" s="68">
        <f>IF(E28="No aumenta",0,IF(E28="Pequeña",0.1,IF(E28="Moderada",0.4,IF(E28="Grande",0.9,IF(E28="Esencial",1,"-")))))</f>
        <v>0.4</v>
      </c>
      <c r="H28" s="68">
        <f>IF(F28="-","-",AVERAGE(F28:G28))</f>
        <v>0.25</v>
      </c>
      <c r="I28" s="69">
        <v>1167.4</v>
      </c>
      <c r="J28" s="70">
        <v>2521</v>
      </c>
      <c r="K28" s="71">
        <f>IF(J28="-",0,I28*J28)</f>
        <v>2943015.4000000004</v>
      </c>
      <c r="L28" s="72">
        <f>IF(H28="-","-",K28*H28)</f>
        <v>735753.8500000001</v>
      </c>
      <c r="M28" s="73">
        <f>IF($H28="-","-",(($K28/(-0.8+1)*((1/(1-$H28))^(-0.8+1)-1))))</f>
        <v>871483.3812690323</v>
      </c>
      <c r="N28" s="73">
        <f>IF($H28="-","-",(($K28/(-1.2+1)*((1/(1-$H28))^(-1.2+1)-1))))</f>
        <v>822756.5765571479</v>
      </c>
      <c r="O28" s="57"/>
    </row>
    <row r="29" spans="1:15" ht="42.75">
      <c r="A29" s="85" t="s">
        <v>112</v>
      </c>
      <c r="B29" s="85" t="s">
        <v>113</v>
      </c>
      <c r="C29" s="86" t="s">
        <v>114</v>
      </c>
      <c r="D29" s="87" t="s">
        <v>48</v>
      </c>
      <c r="E29" s="88" t="s">
        <v>62</v>
      </c>
      <c r="F29" s="89" t="s">
        <v>63</v>
      </c>
      <c r="G29" s="89" t="s">
        <v>63</v>
      </c>
      <c r="H29" s="89" t="s">
        <v>63</v>
      </c>
      <c r="I29" s="90">
        <v>1879.1</v>
      </c>
      <c r="J29" s="91">
        <v>2905</v>
      </c>
      <c r="K29" s="92">
        <f>IF(J29="-",0,I29*J29)</f>
        <v>5458785.5</v>
      </c>
      <c r="L29" s="93" t="str">
        <f>IF(H29="-","-",K29*H29)</f>
        <v>-</v>
      </c>
      <c r="M29" s="94" t="str">
        <f>IF($H29="-","-",(($K29/(-0.8+1)*((1/(1-$H29))^(-0.8+1)-1))))</f>
        <v>-</v>
      </c>
      <c r="N29" s="94" t="str">
        <f>IF($H29="-","-",(($K29/(-1.2+1)*((1/(1-$H29))^(-1.2+1)-1))))</f>
        <v>-</v>
      </c>
      <c r="O29" s="57"/>
    </row>
    <row r="30" spans="1:15" ht="29.25">
      <c r="A30" s="64" t="s">
        <v>115</v>
      </c>
      <c r="B30" s="64" t="s">
        <v>116</v>
      </c>
      <c r="C30" s="65" t="s">
        <v>117</v>
      </c>
      <c r="D30" s="66" t="s">
        <v>40</v>
      </c>
      <c r="E30" s="67" t="s">
        <v>72</v>
      </c>
      <c r="F30" s="68">
        <f>IF(E30="No aumenta",0,IF(E30="Pequeña",0,IF(E30="Moderada",0.1,IF(E30="Grande",0.4,IF(E30="Esencial",0.9,"-")))))</f>
        <v>0</v>
      </c>
      <c r="G30" s="68">
        <f>IF(E30="No aumenta",0,IF(E30="Pequeña",0.1,IF(E30="Moderada",0.4,IF(E30="Grande",0.9,IF(E30="Esencial",1,"-")))))</f>
        <v>0.1</v>
      </c>
      <c r="H30" s="68">
        <f>IF(F30="-","-",AVERAGE(F30:G30))</f>
        <v>0.05</v>
      </c>
      <c r="I30" s="69">
        <v>149</v>
      </c>
      <c r="J30" s="70">
        <v>6178</v>
      </c>
      <c r="K30" s="71">
        <f>IF(J30="-",0,I30*J30)</f>
        <v>920522</v>
      </c>
      <c r="L30" s="72">
        <f>IF(H30="-","-",K30*H30)</f>
        <v>46026.100000000006</v>
      </c>
      <c r="M30" s="73">
        <f>IF($H30="-","-",(($K30/(-0.8+1)*((1/(1-$H30))^(-0.8+1)-1))))</f>
        <v>47459.62577132583</v>
      </c>
      <c r="N30" s="73">
        <f>IF($H30="-","-",(($K30/(-1.2+1)*((1/(1-$H30))^(-1.2+1)-1))))</f>
        <v>46975.24246964984</v>
      </c>
      <c r="O30" s="57"/>
    </row>
    <row r="31" spans="1:15" ht="16.5">
      <c r="A31" s="64" t="s">
        <v>118</v>
      </c>
      <c r="B31" s="64" t="s">
        <v>119</v>
      </c>
      <c r="C31" s="65" t="s">
        <v>120</v>
      </c>
      <c r="D31" s="66" t="s">
        <v>40</v>
      </c>
      <c r="E31" s="67" t="s">
        <v>68</v>
      </c>
      <c r="F31" s="68">
        <f>IF(E31="No aumenta",0,IF(E31="Pequeña",0,IF(E31="Moderada",0.1,IF(E31="Grande",0.4,IF(E31="Esencial",0.9,"-")))))</f>
        <v>0</v>
      </c>
      <c r="G31" s="68">
        <f>IF(E31="No aumenta",0,IF(E31="Pequeña",0.1,IF(E31="Moderada",0.4,IF(E31="Grande",0.9,IF(E31="Esencial",1,"-")))))</f>
        <v>0</v>
      </c>
      <c r="H31" s="68">
        <f>IF(F31="-","-",AVERAGE(F31:G31))</f>
        <v>0</v>
      </c>
      <c r="I31" s="69">
        <v>601</v>
      </c>
      <c r="J31" s="70">
        <f>293951+106526</f>
        <v>400477</v>
      </c>
      <c r="K31" s="71">
        <f>IF(J31="-",0,I31*J31)</f>
        <v>240686677</v>
      </c>
      <c r="L31" s="72">
        <f>IF(H31="-","-",K31*H31)</f>
        <v>0</v>
      </c>
      <c r="M31" s="73">
        <f>IF($H31="-","-",(($K31/(-0.8+1)*((1/(1-$H31))^(-0.8+1)-1))))</f>
        <v>0</v>
      </c>
      <c r="N31" s="73">
        <f>IF($H31="-","-",(($K31/(-1.2+1)*((1/(1-$H31))^(-1.2+1)-1))))</f>
        <v>0</v>
      </c>
      <c r="O31" s="57"/>
    </row>
    <row r="32" spans="1:15" ht="29.25">
      <c r="A32" s="47" t="s">
        <v>121</v>
      </c>
      <c r="B32" s="47" t="s">
        <v>122</v>
      </c>
      <c r="C32" s="48" t="s">
        <v>123</v>
      </c>
      <c r="D32" s="49" t="s">
        <v>34</v>
      </c>
      <c r="E32" s="50" t="s">
        <v>68</v>
      </c>
      <c r="F32" s="51">
        <f>IF(E32="No aumenta",0,IF(E32="Pequeña",0,IF(E32="Moderada",0.1,IF(E32="Grande",0.4,IF(E32="Esencial",0.9,"-")))))</f>
        <v>0</v>
      </c>
      <c r="G32" s="51">
        <f>IF(E32="No aumenta",0,IF(E32="Pequeña",0.1,IF(E32="Moderada",0.4,IF(E32="Grande",0.9,IF(E32="Esencial",1,"-")))))</f>
        <v>0</v>
      </c>
      <c r="H32" s="51">
        <f>IF(F32="-","-",AVERAGE(F32:G32))</f>
        <v>0</v>
      </c>
      <c r="I32" s="157">
        <v>1668.3</v>
      </c>
      <c r="J32" s="158">
        <v>260</v>
      </c>
      <c r="K32" s="54">
        <f>IF(J32="-",0,I32*J32)</f>
        <v>433758</v>
      </c>
      <c r="L32" s="55">
        <f>IF(H32="-","-",K32*H32)</f>
        <v>0</v>
      </c>
      <c r="M32" s="56">
        <f>IF($H32="-","-",(($K32/(-0.8+1)*((1/(1-$H32))^(-0.8+1)-1))))</f>
        <v>0</v>
      </c>
      <c r="N32" s="56">
        <f>IF($H32="-","-",(($K32/(-1.2+1)*((1/(1-$H32))^(-1.2+1)-1))))</f>
        <v>0</v>
      </c>
      <c r="O32" s="57"/>
    </row>
    <row r="33" spans="1:15" ht="16.5">
      <c r="A33" s="64" t="s">
        <v>127</v>
      </c>
      <c r="B33" s="64" t="s">
        <v>128</v>
      </c>
      <c r="C33" s="65" t="s">
        <v>129</v>
      </c>
      <c r="D33" s="171" t="s">
        <v>40</v>
      </c>
      <c r="E33" s="67" t="s">
        <v>130</v>
      </c>
      <c r="F33" s="68">
        <f>IF(E33="No aumenta",0,IF(E33="Pequeña",0,IF(E33="Moderada",0.1,IF(E33="Grande",0.4,IF(E33="Esencial",0.9,"-")))))</f>
        <v>0.9</v>
      </c>
      <c r="G33" s="68">
        <f>IF(E33="No aumenta",0,IF(E33="Pequeña",0.1,IF(E33="Moderada",0.4,IF(E33="Grande",0.9,IF(E33="Esencial",1,"-")))))</f>
        <v>1</v>
      </c>
      <c r="H33" s="68">
        <f>IF(F33="-","-",AVERAGE(F33:G33))</f>
        <v>0.95</v>
      </c>
      <c r="I33" s="69">
        <v>706</v>
      </c>
      <c r="J33" s="70">
        <v>321</v>
      </c>
      <c r="K33" s="71">
        <f>IF(J33="-",0,I33*J33)</f>
        <v>226626</v>
      </c>
      <c r="L33" s="72">
        <f>IF(H33="-","-",K33*H33)</f>
        <v>215294.69999999998</v>
      </c>
      <c r="M33" s="73">
        <f>IF($H33="-","-",(($K33/(-0.8+1)*((1/(1-$H33))^(-0.8+1)-1))))</f>
        <v>929805.915374942</v>
      </c>
      <c r="N33" s="73">
        <f>IF($H33="-","-",(($K33/(-1.2+1)*((1/(1-$H33))^(-1.2+1)-1))))</f>
        <v>510724.0457817693</v>
      </c>
      <c r="O33" s="57"/>
    </row>
    <row r="34" spans="1:15" ht="29.25">
      <c r="A34" s="64" t="s">
        <v>131</v>
      </c>
      <c r="B34" s="64" t="s">
        <v>132</v>
      </c>
      <c r="C34" s="65" t="s">
        <v>133</v>
      </c>
      <c r="D34" s="66" t="s">
        <v>40</v>
      </c>
      <c r="E34" s="67" t="s">
        <v>72</v>
      </c>
      <c r="F34" s="68">
        <v>0</v>
      </c>
      <c r="G34" s="68">
        <v>0.1</v>
      </c>
      <c r="H34" s="68">
        <v>0.05</v>
      </c>
      <c r="I34" s="69">
        <v>164.4</v>
      </c>
      <c r="J34" s="70">
        <v>217642</v>
      </c>
      <c r="K34" s="71">
        <f>IF(J34="-",0,I34*J34)</f>
        <v>35780344.800000004</v>
      </c>
      <c r="L34" s="72">
        <f>IF(H34="-","-",K34*H34)</f>
        <v>1789017.2400000002</v>
      </c>
      <c r="M34" s="73">
        <f>IF($H34="-","-",(($K34/(-0.8+1)*((1/(1-$H34))^(-0.8+1)-1))))</f>
        <v>1844737.848934631</v>
      </c>
      <c r="N34" s="73">
        <f>IF($H34="-","-",(($K34/(-1.2+1)*((1/(1-$H34))^(-1.2+1)-1))))</f>
        <v>1825910.0517181286</v>
      </c>
      <c r="O34" s="57"/>
    </row>
    <row r="35" spans="1:15" ht="16.5">
      <c r="A35" s="134" t="s">
        <v>134</v>
      </c>
      <c r="B35" s="134" t="s">
        <v>135</v>
      </c>
      <c r="C35" s="135" t="s">
        <v>136</v>
      </c>
      <c r="D35" s="95" t="s">
        <v>50</v>
      </c>
      <c r="E35" s="136" t="s">
        <v>68</v>
      </c>
      <c r="F35" s="137">
        <v>0</v>
      </c>
      <c r="G35" s="137">
        <v>0</v>
      </c>
      <c r="H35" s="137">
        <v>0</v>
      </c>
      <c r="I35" s="138">
        <v>761.9</v>
      </c>
      <c r="J35" s="139">
        <v>3</v>
      </c>
      <c r="K35" s="140">
        <f>IF(J35="-",0,I35*J35)</f>
        <v>2285.7</v>
      </c>
      <c r="L35" s="141">
        <f>IF(H35="-","-",K35*H35)</f>
        <v>0</v>
      </c>
      <c r="M35" s="142">
        <f>IF($H35="-","-",(($K35/(-0.8+1)*((1/(1-$H35))^(-0.8+1)-1))))</f>
        <v>0</v>
      </c>
      <c r="N35" s="142">
        <f>IF($H35="-","-",(($K35/(-1.2+1)*((1/(1-$H35))^(-1.2+1)-1))))</f>
        <v>0</v>
      </c>
      <c r="O35" s="57"/>
    </row>
    <row r="36" spans="1:15" ht="42.75">
      <c r="A36" s="85" t="s">
        <v>137</v>
      </c>
      <c r="B36" s="85" t="s">
        <v>138</v>
      </c>
      <c r="C36" s="86" t="s">
        <v>139</v>
      </c>
      <c r="D36" s="87" t="s">
        <v>48</v>
      </c>
      <c r="E36" s="88" t="s">
        <v>49</v>
      </c>
      <c r="F36" s="89" t="str">
        <f>IF(E36="No aumenta",0,IF(E36="Pequeña",0,IF(E36="Moderada",0.1,IF(E36="Grande",0.4,IF(E36="Esencial",0.9,"-")))))</f>
        <v>-</v>
      </c>
      <c r="G36" s="89" t="str">
        <f>IF(E36="No aumenta",0,IF(E36="Pequeña",0.1,IF(E36="Moderada",0.4,IF(E36="Grande",0.9,IF(E36="Esencial",1,"-")))))</f>
        <v>-</v>
      </c>
      <c r="H36" s="89" t="str">
        <f>IF(F36="-","-",AVERAGE(F36:G36))</f>
        <v>-</v>
      </c>
      <c r="I36" s="90">
        <v>300</v>
      </c>
      <c r="J36" s="91">
        <v>49519</v>
      </c>
      <c r="K36" s="92">
        <f>IF(J36="-",0,I36*J36)</f>
        <v>14855700</v>
      </c>
      <c r="L36" s="93" t="str">
        <f>IF(H36="-","-",K36*H36)</f>
        <v>-</v>
      </c>
      <c r="M36" s="94" t="str">
        <f>IF($H36="-","-",(($K36/(-0.8+1)*((1/(1-$H36))^(-0.8+1)-1))))</f>
        <v>-</v>
      </c>
      <c r="N36" s="94" t="str">
        <f>IF($H36="-","-",(($K36/(-1.2+1)*((1/(1-$H36))^(-1.2+1)-1))))</f>
        <v>-</v>
      </c>
      <c r="O36" s="57"/>
    </row>
    <row r="37" spans="1:15" ht="16.5">
      <c r="A37" s="119" t="s">
        <v>143</v>
      </c>
      <c r="B37" s="119" t="s">
        <v>144</v>
      </c>
      <c r="C37" s="120" t="s">
        <v>145</v>
      </c>
      <c r="D37" s="121" t="s">
        <v>36</v>
      </c>
      <c r="E37" s="122" t="s">
        <v>68</v>
      </c>
      <c r="F37" s="123">
        <v>0</v>
      </c>
      <c r="G37" s="123">
        <v>0</v>
      </c>
      <c r="H37" s="123">
        <v>0</v>
      </c>
      <c r="I37" s="124">
        <v>216.9</v>
      </c>
      <c r="J37" s="125">
        <v>4692</v>
      </c>
      <c r="K37" s="126">
        <f>IF(J37="-",0,I37*J37)</f>
        <v>1017694.8</v>
      </c>
      <c r="L37" s="127">
        <f>IF(H37="-","-",K37*H37)</f>
        <v>0</v>
      </c>
      <c r="M37" s="128">
        <f>IF($H37="-","-",(($K37/(-0.8+1)*((1/(1-$H37))^(-0.8+1)-1))))</f>
        <v>0</v>
      </c>
      <c r="N37" s="128">
        <f>IF($H37="-","-",(($K37/(-1.2+1)*((1/(1-$H37))^(-1.2+1)-1))))</f>
        <v>0</v>
      </c>
      <c r="O37" s="57"/>
    </row>
    <row r="38" spans="1:15" ht="29.25">
      <c r="A38" s="85" t="s">
        <v>146</v>
      </c>
      <c r="B38" s="85" t="s">
        <v>147</v>
      </c>
      <c r="C38" s="86" t="s">
        <v>148</v>
      </c>
      <c r="D38" s="87" t="s">
        <v>48</v>
      </c>
      <c r="E38" s="88" t="s">
        <v>68</v>
      </c>
      <c r="F38" s="89">
        <f>IF(E38="No aumenta",0,IF(E38="Pequeña",0,IF(E38="Moderada",0.1,IF(E38="Grande",0.4,IF(E38="Esencial",0.9,"-")))))</f>
        <v>0</v>
      </c>
      <c r="G38" s="89">
        <f>IF(E38="No aumenta",0,IF(E38="Pequeña",0.1,IF(E38="Moderada",0.4,IF(E38="Grande",0.9,IF(E38="Esencial",1,"-")))))</f>
        <v>0</v>
      </c>
      <c r="H38" s="89">
        <f>IF(F38="-","-",AVERAGE(F38:G38))</f>
        <v>0</v>
      </c>
      <c r="I38" s="90">
        <v>1034.6</v>
      </c>
      <c r="J38" s="91">
        <v>224</v>
      </c>
      <c r="K38" s="92">
        <f>IF(J38="-",0,I38*J38)</f>
        <v>231750.39999999997</v>
      </c>
      <c r="L38" s="93">
        <f>IF(H38="-","-",K38*H38)</f>
        <v>0</v>
      </c>
      <c r="M38" s="94">
        <f>IF($H38="-","-",(($K38/(-0.8+1)*((1/(1-$H38))^(-0.8+1)-1))))</f>
        <v>0</v>
      </c>
      <c r="N38" s="94">
        <f>IF($H38="-","-",(($K38/(-1.2+1)*((1/(1-$H38))^(-1.2+1)-1))))</f>
        <v>0</v>
      </c>
      <c r="O38" s="57"/>
    </row>
    <row r="39" spans="1:15" ht="16.5">
      <c r="A39" s="119" t="s">
        <v>149</v>
      </c>
      <c r="B39" s="119" t="s">
        <v>150</v>
      </c>
      <c r="C39" s="120" t="s">
        <v>151</v>
      </c>
      <c r="D39" s="121" t="s">
        <v>36</v>
      </c>
      <c r="E39" s="122" t="s">
        <v>68</v>
      </c>
      <c r="F39" s="123">
        <v>0</v>
      </c>
      <c r="G39" s="123">
        <v>0</v>
      </c>
      <c r="H39" s="123">
        <v>0</v>
      </c>
      <c r="I39" s="124">
        <v>181.5</v>
      </c>
      <c r="J39" s="125">
        <v>12479</v>
      </c>
      <c r="K39" s="126">
        <f>IF(J39="-",0,I39*J39)</f>
        <v>2264938.5</v>
      </c>
      <c r="L39" s="127">
        <f>IF(H39="-","-",K39*H39)</f>
        <v>0</v>
      </c>
      <c r="M39" s="128">
        <f>IF($H39="-","-",(($K39/(-0.8+1)*((1/(1-$H39))^(-0.8+1)-1))))</f>
        <v>0</v>
      </c>
      <c r="N39" s="128">
        <f>IF($H39="-","-",(($K39/(-1.2+1)*((1/(1-$H39))^(-1.2+1)-1))))</f>
        <v>0</v>
      </c>
      <c r="O39" s="57"/>
    </row>
    <row r="40" spans="1:15" ht="16.5">
      <c r="A40" s="174" t="s">
        <v>152</v>
      </c>
      <c r="B40" s="174" t="s">
        <v>153</v>
      </c>
      <c r="C40" s="175" t="s">
        <v>154</v>
      </c>
      <c r="D40" s="79" t="s">
        <v>44</v>
      </c>
      <c r="E40" s="176" t="s">
        <v>68</v>
      </c>
      <c r="F40" s="177">
        <f>IF(E40="No aumenta",0,IF(E40="Pequeña",0,IF(E40="Moderada",0.1,IF(E40="Grande",0.4,IF(E40="Esencial",0.9,"-")))))</f>
        <v>0</v>
      </c>
      <c r="G40" s="177">
        <f>IF(E40="No aumenta",0,IF(E40="Pequeña",0.1,IF(E40="Moderada",0.4,IF(E40="Grande",0.9,IF(E40="Esencial",1,"-")))))</f>
        <v>0</v>
      </c>
      <c r="H40" s="177">
        <f>IF(F40="-","-",AVERAGE(F40:G40))</f>
        <v>0</v>
      </c>
      <c r="I40" s="178">
        <v>396.6</v>
      </c>
      <c r="J40" s="179">
        <f>432+104244</f>
        <v>104676</v>
      </c>
      <c r="K40" s="180">
        <f>IF(J40="-",0,I40*J40)</f>
        <v>41514501.6</v>
      </c>
      <c r="L40" s="181">
        <f>IF(H40="-","-",K40*H40)</f>
        <v>0</v>
      </c>
      <c r="M40" s="182">
        <f>IF($H40="-","-",(($K40/(-0.8+1)*((1/(1-$H40))^(-0.8+1)-1))))</f>
        <v>0</v>
      </c>
      <c r="N40" s="182">
        <f>IF($H40="-","-",(($K40/(-1.2+1)*((1/(1-$H40))^(-1.2+1)-1))))</f>
        <v>0</v>
      </c>
      <c r="O40" s="57"/>
    </row>
    <row r="41" spans="1:15" ht="42.75">
      <c r="A41" s="85" t="s">
        <v>155</v>
      </c>
      <c r="B41" s="85" t="s">
        <v>156</v>
      </c>
      <c r="C41" s="86" t="s">
        <v>157</v>
      </c>
      <c r="D41" s="87" t="s">
        <v>48</v>
      </c>
      <c r="E41" s="88" t="s">
        <v>49</v>
      </c>
      <c r="F41" s="89" t="s">
        <v>63</v>
      </c>
      <c r="G41" s="89" t="s">
        <v>63</v>
      </c>
      <c r="H41" s="89" t="s">
        <v>63</v>
      </c>
      <c r="I41" s="90">
        <v>677.7</v>
      </c>
      <c r="J41" s="91">
        <v>690</v>
      </c>
      <c r="K41" s="92">
        <f>IF(J41="-",0,I41*J41)</f>
        <v>467613.00000000006</v>
      </c>
      <c r="L41" s="93" t="str">
        <f>IF(H41="-","-",K41*H41)</f>
        <v>-</v>
      </c>
      <c r="M41" s="94" t="str">
        <f>IF($H41="-","-",(($K41/(-0.8+1)*((1/(1-$H41))^(-0.8+1)-1))))</f>
        <v>-</v>
      </c>
      <c r="N41" s="94" t="str">
        <f>IF($H41="-","-",(($K41/(-1.2+1)*((1/(1-$H41))^(-1.2+1)-1))))</f>
        <v>-</v>
      </c>
      <c r="O41" s="57"/>
    </row>
    <row r="42" spans="1:15" ht="42.75">
      <c r="A42" s="85" t="s">
        <v>158</v>
      </c>
      <c r="B42" s="85" t="s">
        <v>159</v>
      </c>
      <c r="C42" s="86" t="s">
        <v>157</v>
      </c>
      <c r="D42" s="87" t="s">
        <v>48</v>
      </c>
      <c r="E42" s="88" t="s">
        <v>49</v>
      </c>
      <c r="F42" s="89" t="s">
        <v>63</v>
      </c>
      <c r="G42" s="89" t="s">
        <v>63</v>
      </c>
      <c r="H42" s="89" t="s">
        <v>63</v>
      </c>
      <c r="I42" s="90">
        <v>174.9</v>
      </c>
      <c r="J42" s="91">
        <v>51095</v>
      </c>
      <c r="K42" s="92">
        <f>IF(J42="-",0,I42*J42)</f>
        <v>8936515.5</v>
      </c>
      <c r="L42" s="93" t="str">
        <f>IF(H42="-","-",K42*H42)</f>
        <v>-</v>
      </c>
      <c r="M42" s="94" t="str">
        <f>IF($H42="-","-",(($K42/(-0.8+1)*((1/(1-$H42))^(-0.8+1)-1))))</f>
        <v>-</v>
      </c>
      <c r="N42" s="94" t="str">
        <f>IF($H42="-","-",(($K42/(-1.2+1)*((1/(1-$H42))^(-1.2+1)-1))))</f>
        <v>-</v>
      </c>
      <c r="O42" s="57"/>
    </row>
    <row r="43" spans="1:15" ht="16.5">
      <c r="A43" s="64" t="s">
        <v>160</v>
      </c>
      <c r="B43" s="64" t="s">
        <v>161</v>
      </c>
      <c r="C43" s="65" t="s">
        <v>162</v>
      </c>
      <c r="D43" s="66" t="s">
        <v>40</v>
      </c>
      <c r="E43" s="67" t="s">
        <v>72</v>
      </c>
      <c r="F43" s="68">
        <v>0</v>
      </c>
      <c r="G43" s="68">
        <v>0.1</v>
      </c>
      <c r="H43" s="68">
        <v>0.05</v>
      </c>
      <c r="I43" s="69">
        <v>198.6</v>
      </c>
      <c r="J43" s="70">
        <v>1372161</v>
      </c>
      <c r="K43" s="71">
        <f>IF(J43="-",0,I43*J43)</f>
        <v>272511174.59999996</v>
      </c>
      <c r="L43" s="72">
        <f>IF(H43="-","-",K43*H43)</f>
        <v>13625558.729999999</v>
      </c>
      <c r="M43" s="73">
        <f>IF($H43="-","-",(($K43/(-0.8+1)*((1/(1-$H43))^(-0.8+1)-1))))</f>
        <v>14049939.452854395</v>
      </c>
      <c r="N43" s="73">
        <f>IF($H43="-","-",(($K43/(-1.2+1)*((1/(1-$H43))^(-1.2+1)-1))))</f>
        <v>13906542.703513967</v>
      </c>
      <c r="O43" s="57"/>
    </row>
    <row r="44" spans="1:15" ht="56.25">
      <c r="A44" s="85" t="s">
        <v>163</v>
      </c>
      <c r="B44" s="85" t="s">
        <v>164</v>
      </c>
      <c r="C44" s="86" t="s">
        <v>165</v>
      </c>
      <c r="D44" s="87" t="s">
        <v>48</v>
      </c>
      <c r="E44" s="88" t="s">
        <v>130</v>
      </c>
      <c r="F44" s="89">
        <f>IF(E44="No aumenta",0,IF(E44="Pequeña",0,IF(E44="Moderada",0.1,IF(E44="Grande",0.4,IF(E44="Esencial",0.9,"-")))))</f>
        <v>0.9</v>
      </c>
      <c r="G44" s="89">
        <f>IF(E44="No aumenta",0,IF(E44="Pequeña",0.1,IF(E44="Moderada",0.4,IF(E44="Grande",0.9,IF(E44="Esencial",1,"-")))))</f>
        <v>1</v>
      </c>
      <c r="H44" s="89">
        <f>IF(F44="-","-",AVERAGE(F44:G44))</f>
        <v>0.95</v>
      </c>
      <c r="I44" s="90">
        <v>259.9</v>
      </c>
      <c r="J44" s="91">
        <v>35425</v>
      </c>
      <c r="K44" s="92">
        <f>IF(J44="-",0,I44*J44)</f>
        <v>9206957.5</v>
      </c>
      <c r="L44" s="93">
        <f>IF(H44="-","-",K44*H44)</f>
        <v>8746609.625</v>
      </c>
      <c r="M44" s="94">
        <f>IF($H44="-","-",(($K44/(-0.8+1)*((1/(1-$H44))^(-0.8+1)-1))))</f>
        <v>37774498.71641245</v>
      </c>
      <c r="N44" s="94">
        <f>IF($H44="-","-",(($K44/(-1.2+1)*((1/(1-$H44))^(-1.2+1)-1))))</f>
        <v>20748786.916509155</v>
      </c>
      <c r="O44" s="57"/>
    </row>
    <row r="45" spans="1:15" ht="42.75">
      <c r="A45" s="64" t="s">
        <v>166</v>
      </c>
      <c r="B45" s="64" t="s">
        <v>167</v>
      </c>
      <c r="C45" s="65" t="s">
        <v>168</v>
      </c>
      <c r="D45" s="66" t="s">
        <v>40</v>
      </c>
      <c r="E45" s="67" t="s">
        <v>35</v>
      </c>
      <c r="F45" s="68">
        <v>0.4</v>
      </c>
      <c r="G45" s="68">
        <v>0.9</v>
      </c>
      <c r="H45" s="68">
        <v>0.65</v>
      </c>
      <c r="I45" s="69">
        <v>532.1</v>
      </c>
      <c r="J45" s="70">
        <f>16331+16109</f>
        <v>32440</v>
      </c>
      <c r="K45" s="71">
        <f>IF(J45="-",0,I45*J45)</f>
        <v>17261324</v>
      </c>
      <c r="L45" s="72">
        <f>IF(H45="-","-",K45*H45)</f>
        <v>11219860.6</v>
      </c>
      <c r="M45" s="73">
        <f>IF($H45="-","-",(($K45/(-0.8+1)*((1/(1-$H45))^(-0.8+1)-1))))</f>
        <v>20164175.74641507</v>
      </c>
      <c r="N45" s="73">
        <f>IF($H45="-","-",(($K45/(-1.2+1)*((1/(1-$H45))^(-1.2+1)-1))))</f>
        <v>16345344.669950573</v>
      </c>
      <c r="O45" s="57"/>
    </row>
    <row r="46" spans="1:15" ht="16.5">
      <c r="A46" s="64" t="s">
        <v>169</v>
      </c>
      <c r="B46" s="64" t="s">
        <v>170</v>
      </c>
      <c r="C46" s="65" t="s">
        <v>171</v>
      </c>
      <c r="D46" s="66" t="s">
        <v>40</v>
      </c>
      <c r="E46" s="67" t="s">
        <v>35</v>
      </c>
      <c r="F46" s="68">
        <v>0.4</v>
      </c>
      <c r="G46" s="68">
        <v>0.9</v>
      </c>
      <c r="H46" s="68">
        <v>0.65</v>
      </c>
      <c r="I46" s="69">
        <v>427.4</v>
      </c>
      <c r="J46" s="70">
        <v>6180</v>
      </c>
      <c r="K46" s="71">
        <f>IF(J46="-",0,I46*J46)</f>
        <v>2641332</v>
      </c>
      <c r="L46" s="72">
        <f>IF(H46="-","-",K46*H46)</f>
        <v>1716865.8</v>
      </c>
      <c r="M46" s="73">
        <f>IF($H46="-","-",(($K46/(-0.8+1)*((1/(1-$H46))^(-0.8+1)-1))))</f>
        <v>3085527.080809677</v>
      </c>
      <c r="N46" s="73">
        <f>IF($H46="-","-",(($K46/(-1.2+1)*((1/(1-$H46))^(-1.2+1)-1))))</f>
        <v>2501168.6199604324</v>
      </c>
      <c r="O46" s="57"/>
    </row>
    <row r="47" spans="1:15" ht="29.25">
      <c r="A47" s="134" t="s">
        <v>172</v>
      </c>
      <c r="B47" s="134" t="s">
        <v>173</v>
      </c>
      <c r="C47" s="135" t="s">
        <v>174</v>
      </c>
      <c r="D47" s="95" t="s">
        <v>50</v>
      </c>
      <c r="E47" s="136" t="s">
        <v>68</v>
      </c>
      <c r="F47" s="137">
        <f>IF(E47="No aumenta",0,IF(E47="Pequeña",0,IF(E47="Moderada",0.1,IF(E47="Grande",0.4,IF(E47="Esencial",0.9,"-")))))</f>
        <v>0</v>
      </c>
      <c r="G47" s="137">
        <f>IF(E47="No aumenta",0,IF(E47="Pequeña",0.1,IF(E47="Moderada",0.4,IF(E47="Grande",0.9,IF(E47="Esencial",1,"-")))))</f>
        <v>0</v>
      </c>
      <c r="H47" s="137">
        <f>IF(F47="-","-",AVERAGE(F47:G47))</f>
        <v>0</v>
      </c>
      <c r="I47" s="138">
        <v>223.6</v>
      </c>
      <c r="J47" s="139">
        <v>989</v>
      </c>
      <c r="K47" s="140">
        <f>IF(J47="-",0,I47*J47)</f>
        <v>221140.4</v>
      </c>
      <c r="L47" s="141">
        <f>IF(H47="-","-",K47*H47)</f>
        <v>0</v>
      </c>
      <c r="M47" s="142">
        <f>IF($H47="-","-",(($K47/(-0.8+1)*((1/(1-$H47))^(-0.8+1)-1))))</f>
        <v>0</v>
      </c>
      <c r="N47" s="142">
        <f>IF($H47="-","-",(($K47/(-1.2+1)*((1/(1-$H47))^(-1.2+1)-1))))</f>
        <v>0</v>
      </c>
      <c r="O47" s="57"/>
    </row>
    <row r="48" spans="1:15" ht="29.25">
      <c r="A48" s="85" t="s">
        <v>175</v>
      </c>
      <c r="B48" s="85" t="s">
        <v>176</v>
      </c>
      <c r="C48" s="86" t="s">
        <v>174</v>
      </c>
      <c r="D48" s="87" t="s">
        <v>48</v>
      </c>
      <c r="E48" s="88" t="s">
        <v>68</v>
      </c>
      <c r="F48" s="89">
        <f>IF(E48="No aumenta",0,IF(E48="Pequeña",0,IF(E48="Moderada",0.1,IF(E48="Grande",0.4,IF(E48="Esencial",0.9,"-")))))</f>
        <v>0</v>
      </c>
      <c r="G48" s="89">
        <f>IF(E48="No aumenta",0,IF(E48="Pequeña",0.1,IF(E48="Moderada",0.4,IF(E48="Grande",0.9,IF(E48="Esencial",1,"-")))))</f>
        <v>0</v>
      </c>
      <c r="H48" s="89">
        <f>IF(F48="-","-",AVERAGE(F48:G48))</f>
        <v>0</v>
      </c>
      <c r="I48" s="90">
        <v>1847.6</v>
      </c>
      <c r="J48" s="91">
        <v>1640</v>
      </c>
      <c r="K48" s="92">
        <f>IF(J48="-",0,I48*J48)</f>
        <v>3030064</v>
      </c>
      <c r="L48" s="93">
        <f>IF(H48="-","-",K48*H48)</f>
        <v>0</v>
      </c>
      <c r="M48" s="94">
        <f>IF($H48="-","-",(($K48/(-0.8+1)*((1/(1-$H48))^(-0.8+1)-1))))</f>
        <v>0</v>
      </c>
      <c r="N48" s="94">
        <f>IF($H48="-","-",(($K48/(-1.2+1)*((1/(1-$H48))^(-1.2+1)-1))))</f>
        <v>0</v>
      </c>
      <c r="O48" s="57"/>
    </row>
    <row r="49" spans="1:15" ht="29.25">
      <c r="A49" s="64" t="s">
        <v>177</v>
      </c>
      <c r="B49" s="64" t="s">
        <v>178</v>
      </c>
      <c r="C49" s="65" t="s">
        <v>179</v>
      </c>
      <c r="D49" s="66" t="s">
        <v>40</v>
      </c>
      <c r="E49" s="67" t="s">
        <v>35</v>
      </c>
      <c r="F49" s="68">
        <v>0.4</v>
      </c>
      <c r="G49" s="68">
        <v>0.9</v>
      </c>
      <c r="H49" s="68">
        <v>0.65</v>
      </c>
      <c r="I49" s="69">
        <v>471.3</v>
      </c>
      <c r="J49" s="70">
        <v>9628</v>
      </c>
      <c r="K49" s="71">
        <f>IF(J49="-",0,I49*J49)</f>
        <v>4537676.4</v>
      </c>
      <c r="L49" s="72">
        <f>IF(H49="-","-",K49*H49)</f>
        <v>2949489.66</v>
      </c>
      <c r="M49" s="73">
        <f>IF($H49="-","-",(($K49/(-0.8+1)*((1/(1-$H49))^(-0.8+1)-1))))</f>
        <v>5300781.354313265</v>
      </c>
      <c r="N49" s="73">
        <f>IF($H49="-","-",(($K49/(-1.2+1)*((1/(1-$H49))^(-1.2+1)-1))))</f>
        <v>4296882.716453298</v>
      </c>
      <c r="O49" s="57"/>
    </row>
    <row r="50" spans="1:15" ht="42.75">
      <c r="A50" s="183" t="s">
        <v>180</v>
      </c>
      <c r="B50" s="183" t="s">
        <v>181</v>
      </c>
      <c r="C50" s="184" t="s">
        <v>182</v>
      </c>
      <c r="D50" s="101" t="s">
        <v>54</v>
      </c>
      <c r="E50" s="185" t="s">
        <v>62</v>
      </c>
      <c r="F50" s="186" t="s">
        <v>63</v>
      </c>
      <c r="G50" s="186" t="s">
        <v>63</v>
      </c>
      <c r="H50" s="186" t="s">
        <v>63</v>
      </c>
      <c r="I50" s="187">
        <v>212.7</v>
      </c>
      <c r="J50" s="188">
        <v>44550</v>
      </c>
      <c r="K50" s="189">
        <f>IF(J50="-",0,I50*J50)</f>
        <v>9475785</v>
      </c>
      <c r="L50" s="190" t="str">
        <f>IF(H50="-","-",K50*H50)</f>
        <v>-</v>
      </c>
      <c r="M50" s="191" t="str">
        <f>IF($H50="-","-",(($K50/(-0.8+1)*((1/(1-$H50))^(-0.8+1)-1))))</f>
        <v>-</v>
      </c>
      <c r="N50" s="191" t="str">
        <f>IF($H50="-","-",(($K50/(-1.2+1)*((1/(1-$H50))^(-1.2+1)-1))))</f>
        <v>-</v>
      </c>
      <c r="O50" s="57"/>
    </row>
    <row r="51" spans="1:15" ht="42.75">
      <c r="A51" s="85" t="s">
        <v>251</v>
      </c>
      <c r="B51" s="85" t="s">
        <v>184</v>
      </c>
      <c r="C51" s="86" t="s">
        <v>185</v>
      </c>
      <c r="D51" s="87" t="s">
        <v>48</v>
      </c>
      <c r="E51" s="88" t="s">
        <v>130</v>
      </c>
      <c r="F51" s="89">
        <f>IF(E51="No aumenta",0,IF(E51="Pequeña",0,IF(E51="Moderada",0.1,IF(E51="Grande",0.4,IF(E51="Esencial",0.9,"-")))))</f>
        <v>0.9</v>
      </c>
      <c r="G51" s="89">
        <f>IF(E51="No aumenta",0,IF(E51="Pequeña",0.1,IF(E51="Moderada",0.4,IF(E51="Grande",0.9,IF(E51="Esencial",1,"-")))))</f>
        <v>1</v>
      </c>
      <c r="H51" s="89">
        <f>IF(F51="-","-",AVERAGE(F51:G51))</f>
        <v>0.95</v>
      </c>
      <c r="I51" s="90">
        <v>333.5</v>
      </c>
      <c r="J51" s="91">
        <f>13862+4260</f>
        <v>18122</v>
      </c>
      <c r="K51" s="92">
        <f>IF(J51="-",0,I51*J51)</f>
        <v>6043687</v>
      </c>
      <c r="L51" s="93">
        <f>IF(H51="-","-",K51*H51)</f>
        <v>5741502.649999999</v>
      </c>
      <c r="M51" s="94">
        <f>IF($H51="-","-",(($K51/(-0.8+1)*((1/(1-$H51))^(-0.8+1)-1))))</f>
        <v>24796166.0324704</v>
      </c>
      <c r="N51" s="94">
        <f>IF($H51="-","-",(($K51/(-1.2+1)*((1/(1-$H51))^(-1.2+1)-1))))</f>
        <v>13620044.814269695</v>
      </c>
      <c r="O51" s="57"/>
    </row>
    <row r="52" spans="1:15" ht="16.5">
      <c r="A52" s="64" t="s">
        <v>186</v>
      </c>
      <c r="B52" s="64" t="s">
        <v>187</v>
      </c>
      <c r="C52" s="192" t="s">
        <v>188</v>
      </c>
      <c r="D52" s="66" t="s">
        <v>40</v>
      </c>
      <c r="E52" s="67" t="s">
        <v>35</v>
      </c>
      <c r="F52" s="68">
        <v>0.4</v>
      </c>
      <c r="G52" s="68">
        <v>0.9</v>
      </c>
      <c r="H52" s="68">
        <v>0.65</v>
      </c>
      <c r="I52" s="69">
        <v>316.1</v>
      </c>
      <c r="J52" s="70">
        <v>200</v>
      </c>
      <c r="K52" s="71">
        <f>IF(J52="-",0,I52*J52)</f>
        <v>63220.00000000001</v>
      </c>
      <c r="L52" s="72">
        <f>IF(H52="-","-",K52*H52)</f>
        <v>41093.00000000001</v>
      </c>
      <c r="M52" s="73">
        <f>IF($H52="-","-",(($K52/(-0.8+1)*((1/(1-$H52))^(-0.8+1)-1))))</f>
        <v>73851.76193253548</v>
      </c>
      <c r="N52" s="73">
        <f>IF($H52="-","-",(($K52/(-1.2+1)*((1/(1-$H52))^(-1.2+1)-1))))</f>
        <v>59865.20443242218</v>
      </c>
      <c r="O52" s="57"/>
    </row>
    <row r="53" spans="1:15" ht="16.5">
      <c r="A53" s="119" t="s">
        <v>195</v>
      </c>
      <c r="B53" s="119" t="s">
        <v>196</v>
      </c>
      <c r="C53" s="120" t="s">
        <v>197</v>
      </c>
      <c r="D53" s="121" t="s">
        <v>36</v>
      </c>
      <c r="E53" s="194" t="s">
        <v>68</v>
      </c>
      <c r="F53" s="123">
        <v>0</v>
      </c>
      <c r="G53" s="123">
        <v>0</v>
      </c>
      <c r="H53" s="123">
        <v>0</v>
      </c>
      <c r="I53" s="124">
        <v>276.1</v>
      </c>
      <c r="J53" s="125">
        <v>124407</v>
      </c>
      <c r="K53" s="126">
        <f>IF(J53="-",0,I53*J53)</f>
        <v>34348772.7</v>
      </c>
      <c r="L53" s="127">
        <f>IF(H53="-","-",K53*H53)</f>
        <v>0</v>
      </c>
      <c r="M53" s="128">
        <f>IF($H53="-","-",(($K53/(-0.8+1)*((1/(1-$H53))^(-0.8+1)-1))))</f>
        <v>0</v>
      </c>
      <c r="N53" s="128">
        <f>IF($H53="-","-",(($K53/(-1.2+1)*((1/(1-$H53))^(-1.2+1)-1))))</f>
        <v>0</v>
      </c>
      <c r="O53" s="57"/>
    </row>
    <row r="54" spans="1:15" ht="16.5">
      <c r="A54" s="119" t="s">
        <v>198</v>
      </c>
      <c r="B54" s="119" t="s">
        <v>199</v>
      </c>
      <c r="C54" s="120" t="s">
        <v>200</v>
      </c>
      <c r="D54" s="121" t="s">
        <v>36</v>
      </c>
      <c r="E54" s="122" t="s">
        <v>68</v>
      </c>
      <c r="F54" s="123">
        <f>IF(E54="No aumenta",0,IF(E54="Pequeña",0,IF(E54="Moderada",0.1,IF(E54="Grande",0.4,IF(E54="Esencial",0.9,"-")))))</f>
        <v>0</v>
      </c>
      <c r="G54" s="123">
        <f>IF(E54="No aumenta",0,IF(E54="Pequeña",0.1,IF(E54="Moderada",0.4,IF(E54="Grande",0.9,IF(E54="Esencial",1,"-")))))</f>
        <v>0</v>
      </c>
      <c r="H54" s="123">
        <f>IF(F54="-","-",AVERAGE(F54:G54))</f>
        <v>0</v>
      </c>
      <c r="I54" s="124">
        <v>183.6</v>
      </c>
      <c r="J54" s="125">
        <v>709</v>
      </c>
      <c r="K54" s="126">
        <f>IF(J54="-",0,I54*J54)</f>
        <v>130172.4</v>
      </c>
      <c r="L54" s="127">
        <f>IF(H54="-","-",K54*H54)</f>
        <v>0</v>
      </c>
      <c r="M54" s="128">
        <f>IF($H54="-","-",(($K54/(-0.8+1)*((1/(1-$H54))^(-0.8+1)-1))))</f>
        <v>0</v>
      </c>
      <c r="N54" s="128">
        <f>IF($H54="-","-",(($K54/(-1.2+1)*((1/(1-$H54))^(-1.2+1)-1))))</f>
        <v>0</v>
      </c>
      <c r="O54" s="57"/>
    </row>
    <row r="55" spans="1:15" ht="29.25">
      <c r="A55" s="174" t="s">
        <v>204</v>
      </c>
      <c r="B55" s="174" t="s">
        <v>205</v>
      </c>
      <c r="C55" s="175" t="s">
        <v>206</v>
      </c>
      <c r="D55" s="79" t="s">
        <v>44</v>
      </c>
      <c r="E55" s="176" t="s">
        <v>79</v>
      </c>
      <c r="F55" s="177">
        <v>0.1</v>
      </c>
      <c r="G55" s="177">
        <v>0.4</v>
      </c>
      <c r="H55" s="177">
        <v>0.25</v>
      </c>
      <c r="I55" s="178">
        <v>541.8</v>
      </c>
      <c r="J55" s="179">
        <v>18</v>
      </c>
      <c r="K55" s="180">
        <f>IF(J55="-",0,I55*J55)</f>
        <v>9752.4</v>
      </c>
      <c r="L55" s="181">
        <f>IF(H55="-","-",K55*H55)</f>
        <v>2438.1</v>
      </c>
      <c r="M55" s="182">
        <f>IF($H55="-","-",(($K55/(-0.8+1)*((1/(1-$H55))^(-0.8+1)-1))))</f>
        <v>2887.8729372221796</v>
      </c>
      <c r="N55" s="182">
        <f>IF($H55="-","-",(($K55/(-1.2+1)*((1/(1-$H55))^(-1.2+1)-1))))</f>
        <v>2726.40477423799</v>
      </c>
      <c r="O55" s="57"/>
    </row>
    <row r="56" spans="1:15" ht="16.5">
      <c r="A56" s="119" t="s">
        <v>207</v>
      </c>
      <c r="B56" s="119" t="s">
        <v>208</v>
      </c>
      <c r="C56" s="120" t="s">
        <v>209</v>
      </c>
      <c r="D56" s="121" t="s">
        <v>36</v>
      </c>
      <c r="E56" s="122" t="s">
        <v>68</v>
      </c>
      <c r="F56" s="123">
        <v>0</v>
      </c>
      <c r="G56" s="123">
        <v>0</v>
      </c>
      <c r="H56" s="123">
        <v>0</v>
      </c>
      <c r="I56" s="124">
        <v>200</v>
      </c>
      <c r="J56" s="125">
        <v>103</v>
      </c>
      <c r="K56" s="126">
        <f>IF(J56="-",0,I56*J56)</f>
        <v>20600</v>
      </c>
      <c r="L56" s="127">
        <f>IF(H56="-","-",K56*H56)</f>
        <v>0</v>
      </c>
      <c r="M56" s="128">
        <f>IF($H56="-","-",(($K56/(-0.8+1)*((1/(1-$H56))^(-0.8+1)-1))))</f>
        <v>0</v>
      </c>
      <c r="N56" s="128">
        <f>IF($H56="-","-",(($K56/(-1.2+1)*((1/(1-$H56))^(-1.2+1)-1))))</f>
        <v>0</v>
      </c>
      <c r="O56" s="57"/>
    </row>
    <row r="57" spans="1:15" ht="16.5">
      <c r="A57" s="85" t="s">
        <v>213</v>
      </c>
      <c r="B57" s="85" t="s">
        <v>214</v>
      </c>
      <c r="C57" s="86" t="s">
        <v>215</v>
      </c>
      <c r="D57" s="87" t="s">
        <v>48</v>
      </c>
      <c r="E57" s="88" t="s">
        <v>68</v>
      </c>
      <c r="F57" s="89">
        <v>0</v>
      </c>
      <c r="G57" s="89">
        <v>0</v>
      </c>
      <c r="H57" s="89">
        <v>0</v>
      </c>
      <c r="I57" s="90">
        <v>508.7</v>
      </c>
      <c r="J57" s="91">
        <v>4365</v>
      </c>
      <c r="K57" s="92">
        <f>IF(J57="-",0,I57*J57)</f>
        <v>2220475.5</v>
      </c>
      <c r="L57" s="93">
        <f>IF(H57="-","-",K57*H57)</f>
        <v>0</v>
      </c>
      <c r="M57" s="94">
        <f>IF($H57="-","-",(($K57/(-0.8+1)*((1/(1-$H57))^(-0.8+1)-1))))</f>
        <v>0</v>
      </c>
      <c r="N57" s="94">
        <f>IF($H57="-","-",(($K57/(-1.2+1)*((1/(1-$H57))^(-1.2+1)-1))))</f>
        <v>0</v>
      </c>
      <c r="O57" s="57"/>
    </row>
    <row r="58" spans="1:15" ht="16.5">
      <c r="A58" s="64" t="s">
        <v>216</v>
      </c>
      <c r="B58" s="64" t="s">
        <v>217</v>
      </c>
      <c r="C58" s="65" t="s">
        <v>218</v>
      </c>
      <c r="D58" s="66" t="s">
        <v>40</v>
      </c>
      <c r="E58" s="67" t="s">
        <v>79</v>
      </c>
      <c r="F58" s="68">
        <f>IF(E58="No aumenta",0,IF(E58="Pequeña",0,IF(E58="Moderada",0.1,IF(E58="Grande",0.4,IF(E58="Esencial",0.9,"-")))))</f>
        <v>0.1</v>
      </c>
      <c r="G58" s="68">
        <f>IF(E58="No aumenta",0,IF(E58="Pequeña",0.1,IF(E58="Moderada",0.4,IF(E58="Grande",0.9,IF(E58="Esencial",1,"-")))))</f>
        <v>0.4</v>
      </c>
      <c r="H58" s="68">
        <f>IF(F58="-","-",AVERAGE(F58:G58))</f>
        <v>0.25</v>
      </c>
      <c r="I58" s="69">
        <v>1310.8</v>
      </c>
      <c r="J58" s="70">
        <v>216</v>
      </c>
      <c r="K58" s="71">
        <f>IF(J58="-",0,I58*J58)</f>
        <v>283132.8</v>
      </c>
      <c r="L58" s="72">
        <f>IF(H58="-","-",K58*H58)</f>
        <v>70783.2</v>
      </c>
      <c r="M58" s="73">
        <f>IF($H58="-","-",(($K58/(-0.8+1)*((1/(1-$H58))^(-0.8+1)-1))))</f>
        <v>83841.05971452565</v>
      </c>
      <c r="N58" s="73">
        <f>IF($H58="-","-",(($K58/(-1.2+1)*((1/(1-$H58))^(-1.2+1)-1))))</f>
        <v>79153.2974102139</v>
      </c>
      <c r="O58" s="57"/>
    </row>
    <row r="59" spans="1:15" ht="29.25">
      <c r="A59" s="174" t="s">
        <v>222</v>
      </c>
      <c r="B59" s="174" t="s">
        <v>223</v>
      </c>
      <c r="C59" s="175" t="s">
        <v>224</v>
      </c>
      <c r="D59" s="79" t="s">
        <v>44</v>
      </c>
      <c r="E59" s="176" t="s">
        <v>79</v>
      </c>
      <c r="F59" s="177">
        <v>0.1</v>
      </c>
      <c r="G59" s="177">
        <v>0.4</v>
      </c>
      <c r="H59" s="177">
        <v>0.25</v>
      </c>
      <c r="I59" s="178">
        <v>380.1</v>
      </c>
      <c r="J59" s="179">
        <v>902</v>
      </c>
      <c r="K59" s="180">
        <f>IF(J59="-",0,I59*J59)</f>
        <v>342850.2</v>
      </c>
      <c r="L59" s="181">
        <f>IF(H59="-","-",K59*H59)</f>
        <v>85712.55</v>
      </c>
      <c r="M59" s="182">
        <f>IF($H59="-","-",(($K59/(-0.8+1)*((1/(1-$H59))^(-0.8+1)-1))))</f>
        <v>101524.52874176735</v>
      </c>
      <c r="N59" s="182">
        <f>IF($H59="-","-",(($K59/(-1.2+1)*((1/(1-$H59))^(-1.2+1)-1))))</f>
        <v>95848.039675203</v>
      </c>
      <c r="O59" s="57"/>
    </row>
    <row r="60" spans="1:15" ht="42.75">
      <c r="A60" s="183" t="s">
        <v>225</v>
      </c>
      <c r="B60" s="183" t="s">
        <v>226</v>
      </c>
      <c r="C60" s="184" t="s">
        <v>227</v>
      </c>
      <c r="D60" s="101" t="s">
        <v>54</v>
      </c>
      <c r="E60" s="185" t="s">
        <v>62</v>
      </c>
      <c r="F60" s="186" t="s">
        <v>63</v>
      </c>
      <c r="G60" s="186" t="s">
        <v>63</v>
      </c>
      <c r="H60" s="186" t="s">
        <v>63</v>
      </c>
      <c r="I60" s="187">
        <v>491.4</v>
      </c>
      <c r="J60" s="188">
        <v>3726</v>
      </c>
      <c r="K60" s="189">
        <f>IF(J60="-",0,I60*J60)</f>
        <v>1830956.4</v>
      </c>
      <c r="L60" s="190" t="str">
        <f>IF(H60="-","-",K60*H60)</f>
        <v>-</v>
      </c>
      <c r="M60" s="191" t="str">
        <f>IF($H60="-","-",(($K60/(-0.8+1)*((1/(1-$H60))^(-0.8+1)-1))))</f>
        <v>-</v>
      </c>
      <c r="N60" s="191" t="str">
        <f>IF($H60="-","-",(($K60/(-1.2+1)*((1/(1-$H60))^(-1.2+1)-1))))</f>
        <v>-</v>
      </c>
      <c r="O60" s="57"/>
    </row>
    <row r="61" spans="1:15" ht="96">
      <c r="A61" s="64" t="s">
        <v>228</v>
      </c>
      <c r="B61" s="64" t="s">
        <v>229</v>
      </c>
      <c r="C61" s="65" t="s">
        <v>230</v>
      </c>
      <c r="D61" s="66" t="s">
        <v>40</v>
      </c>
      <c r="E61" s="67" t="s">
        <v>72</v>
      </c>
      <c r="F61" s="68">
        <v>0</v>
      </c>
      <c r="G61" s="68">
        <v>0.1</v>
      </c>
      <c r="H61" s="68">
        <v>0.05</v>
      </c>
      <c r="I61" s="69">
        <v>240.6</v>
      </c>
      <c r="J61" s="70">
        <f>130609+1047144+394816</f>
        <v>1572569</v>
      </c>
      <c r="K61" s="71">
        <f>IF(J61="-",0,I61*J61)</f>
        <v>378360101.4</v>
      </c>
      <c r="L61" s="72">
        <f>IF(H61="-","-",K61*H61)</f>
        <v>18918005.07</v>
      </c>
      <c r="M61" s="73">
        <f>IF($H61="-","-",(($K61/(-0.8+1)*((1/(1-$H61))^(-0.8+1)-1))))</f>
        <v>19507223.96558137</v>
      </c>
      <c r="N61" s="73">
        <f>IF($H61="-","-",(($K61/(-1.2+1)*((1/(1-$H61))^(-1.2+1)-1))))</f>
        <v>19308128.979107834</v>
      </c>
      <c r="O61" s="57"/>
    </row>
    <row r="62" spans="1:15" ht="16.5">
      <c r="A62" s="85" t="s">
        <v>231</v>
      </c>
      <c r="B62" s="85" t="s">
        <v>232</v>
      </c>
      <c r="C62" s="86" t="s">
        <v>233</v>
      </c>
      <c r="D62" s="87" t="s">
        <v>48</v>
      </c>
      <c r="E62" s="88" t="s">
        <v>72</v>
      </c>
      <c r="F62" s="89">
        <v>0</v>
      </c>
      <c r="G62" s="89">
        <v>0.1</v>
      </c>
      <c r="H62" s="89">
        <v>0.05</v>
      </c>
      <c r="I62" s="90">
        <v>440.6</v>
      </c>
      <c r="J62" s="91">
        <v>66322</v>
      </c>
      <c r="K62" s="92">
        <f>IF(J62="-",0,I62*J62)</f>
        <v>29221473.200000003</v>
      </c>
      <c r="L62" s="93">
        <f>IF(H62="-","-",K62*H62)</f>
        <v>1461073.6600000001</v>
      </c>
      <c r="M62" s="94">
        <f>IF($H62="-","-",(($K62/(-0.8+1)*((1/(1-$H62))^(-0.8+1)-1))))</f>
        <v>1506580.160559799</v>
      </c>
      <c r="N62" s="94">
        <f>IF($H62="-","-",(($K62/(-1.2+1)*((1/(1-$H62))^(-1.2+1)-1))))</f>
        <v>1491203.6745350736</v>
      </c>
      <c r="O62" s="57"/>
    </row>
    <row r="63" spans="1:15" ht="29.25">
      <c r="A63" s="47" t="s">
        <v>234</v>
      </c>
      <c r="B63" s="47" t="s">
        <v>235</v>
      </c>
      <c r="C63" s="48" t="s">
        <v>236</v>
      </c>
      <c r="D63" s="49" t="s">
        <v>34</v>
      </c>
      <c r="E63" s="50" t="s">
        <v>68</v>
      </c>
      <c r="F63" s="51" t="s">
        <v>63</v>
      </c>
      <c r="G63" s="51" t="s">
        <v>63</v>
      </c>
      <c r="H63" s="51" t="s">
        <v>63</v>
      </c>
      <c r="I63" s="157">
        <v>2087.7</v>
      </c>
      <c r="J63" s="158">
        <v>1470</v>
      </c>
      <c r="K63" s="54">
        <f>IF(J63="-",0,I63*J63)</f>
        <v>3068918.9999999995</v>
      </c>
      <c r="L63" s="55" t="str">
        <f>IF(H63="-","-",K63*H63)</f>
        <v>-</v>
      </c>
      <c r="M63" s="56" t="str">
        <f>IF($H63="-","-",(($K63/(-0.8+1)*((1/(1-$H63))^(-0.8+1)-1))))</f>
        <v>-</v>
      </c>
      <c r="N63" s="56" t="str">
        <f>IF($H63="-","-",(($K63/(-1.2+1)*((1/(1-$H63))^(-1.2+1)-1))))</f>
        <v>-</v>
      </c>
      <c r="O63" s="57"/>
    </row>
    <row r="64" spans="1:15" ht="16.5">
      <c r="A64" s="85" t="s">
        <v>237</v>
      </c>
      <c r="B64" s="85" t="s">
        <v>238</v>
      </c>
      <c r="C64" s="86" t="s">
        <v>239</v>
      </c>
      <c r="D64" s="87" t="s">
        <v>48</v>
      </c>
      <c r="E64" s="88" t="s">
        <v>130</v>
      </c>
      <c r="F64" s="89">
        <v>0.9</v>
      </c>
      <c r="G64" s="89">
        <v>1</v>
      </c>
      <c r="H64" s="89">
        <v>0.95</v>
      </c>
      <c r="I64" s="90">
        <v>243.3</v>
      </c>
      <c r="J64" s="91">
        <v>63506</v>
      </c>
      <c r="K64" s="92">
        <f>IF(J64="-",0,I64*J64)</f>
        <v>15451009.8</v>
      </c>
      <c r="L64" s="93">
        <f>IF(H64="-","-",K64*H64)</f>
        <v>14678459.31</v>
      </c>
      <c r="M64" s="94">
        <f>IF($H64="-","-",(($K64/(-0.8+1)*((1/(1-$H64))^(-0.8+1)-1))))</f>
        <v>63392727.71242575</v>
      </c>
      <c r="N64" s="94">
        <f>IF($H64="-","-",(($K64/(-1.2+1)*((1/(1-$H64))^(-1.2+1)-1))))</f>
        <v>34820374.69870962</v>
      </c>
      <c r="O64" s="57"/>
    </row>
    <row r="65" spans="1:15" ht="29.25">
      <c r="A65" s="119" t="s">
        <v>240</v>
      </c>
      <c r="B65" s="119" t="s">
        <v>241</v>
      </c>
      <c r="C65" s="120" t="s">
        <v>242</v>
      </c>
      <c r="D65" s="121" t="s">
        <v>36</v>
      </c>
      <c r="E65" s="122" t="s">
        <v>68</v>
      </c>
      <c r="F65" s="123">
        <v>0</v>
      </c>
      <c r="G65" s="123">
        <v>0</v>
      </c>
      <c r="H65" s="123">
        <v>0</v>
      </c>
      <c r="I65" s="124">
        <v>230.1</v>
      </c>
      <c r="J65" s="125">
        <v>12056</v>
      </c>
      <c r="K65" s="126">
        <f>IF(J65="-",0,I65*J65)</f>
        <v>2774085.6</v>
      </c>
      <c r="L65" s="127">
        <f>IF(H65="-","-",K65*H65)</f>
        <v>0</v>
      </c>
      <c r="M65" s="128">
        <f>IF($H65="-","-",(($K65/(-0.8+1)*((1/(1-$H65))^(-0.8+1)-1))))</f>
        <v>0</v>
      </c>
      <c r="N65" s="128">
        <f>IF($H65="-","-",(($K65/(-1.2+1)*((1/(1-$H65))^(-1.2+1)-1))))</f>
        <v>0</v>
      </c>
      <c r="O65" s="57"/>
    </row>
    <row r="66" spans="1:14" ht="16.5">
      <c r="A66" s="2"/>
      <c r="I66" s="205"/>
      <c r="J66" s="206"/>
      <c r="K66" s="207"/>
      <c r="L66" s="208"/>
      <c r="M66" s="209"/>
      <c r="N66" s="209"/>
    </row>
    <row r="67" spans="1:14" ht="30" customHeight="1">
      <c r="A67" s="210" t="s">
        <v>243</v>
      </c>
      <c r="B67" s="210" t="s">
        <v>248</v>
      </c>
      <c r="C67" s="210"/>
      <c r="D67" s="210"/>
      <c r="E67" s="210"/>
      <c r="F67" s="211">
        <f>AVERAGE(F9:F65)</f>
        <v>0.18222222222222226</v>
      </c>
      <c r="G67" s="211">
        <f>AVERAGE(G9:G65)</f>
        <v>0.3622222222222222</v>
      </c>
      <c r="H67" s="211">
        <f>AVERAGE(H9:H65)</f>
        <v>0.2722222222222222</v>
      </c>
      <c r="I67" s="212">
        <f>AVERAGE(I9:I65)</f>
        <v>669.217543859649</v>
      </c>
      <c r="J67" s="213">
        <f>AVERAGE(J9:J65)</f>
        <v>79533.0350877193</v>
      </c>
      <c r="K67" s="214">
        <f>SUM(K9:K65)</f>
        <v>1301793139.4999998</v>
      </c>
      <c r="L67" s="215">
        <f>SUM(L9:L65)</f>
        <v>113918898.93</v>
      </c>
      <c r="M67" s="216">
        <f>SUM(M9:M65)</f>
        <v>249037367.75325447</v>
      </c>
      <c r="N67" s="216">
        <f>SUM(N9:N65)</f>
        <v>175911255.47403726</v>
      </c>
    </row>
  </sheetData>
  <sheetProtection selectLockedCells="1" selectUnlockedCells="1"/>
  <mergeCells count="10">
    <mergeCell ref="A2:N2"/>
    <mergeCell ref="A3:N3"/>
    <mergeCell ref="P3:V3"/>
    <mergeCell ref="F4:H4"/>
    <mergeCell ref="I4:N4"/>
    <mergeCell ref="M5:N5"/>
    <mergeCell ref="U5:V5"/>
    <mergeCell ref="B6:D6"/>
    <mergeCell ref="E6:H6"/>
    <mergeCell ref="A67:E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L64"/>
  <sheetViews>
    <sheetView zoomScale="90" zoomScaleNormal="90" workbookViewId="0" topLeftCell="A46">
      <selection activeCell="A9" sqref="A9:A63"/>
    </sheetView>
  </sheetViews>
  <sheetFormatPr defaultColWidth="11.00390625" defaultRowHeight="12.75"/>
  <cols>
    <col min="1" max="1" width="10.75390625" style="1" customWidth="1"/>
    <col min="2" max="2" width="14.00390625" style="2" customWidth="1"/>
    <col min="3" max="3" width="40.75390625" style="3" customWidth="1"/>
    <col min="4" max="4" width="12.75390625" style="1" customWidth="1"/>
    <col min="5" max="5" width="11.75390625" style="4" customWidth="1"/>
    <col min="6" max="8" width="10.75390625" style="4" customWidth="1"/>
    <col min="9" max="9" width="14.625" style="1" customWidth="1"/>
    <col min="10" max="10" width="14.00390625" style="1" customWidth="1"/>
    <col min="11" max="11" width="16.875" style="5" customWidth="1"/>
    <col min="12" max="12" width="15.75390625" style="6" customWidth="1"/>
    <col min="13" max="14" width="15.75390625" style="7" customWidth="1"/>
    <col min="15" max="15" width="10.75390625" style="1" customWidth="1"/>
    <col min="16" max="16" width="12.375" style="1" customWidth="1"/>
    <col min="17" max="17" width="14.125" style="1" customWidth="1"/>
    <col min="18" max="18" width="24.75390625" style="1" customWidth="1"/>
    <col min="19" max="19" width="21.25390625" style="1" customWidth="1"/>
    <col min="20" max="20" width="14.125" style="1" customWidth="1"/>
    <col min="21" max="22" width="18.75390625" style="1" customWidth="1"/>
    <col min="23" max="245" width="10.75390625" style="1" customWidth="1"/>
    <col min="246" max="16384" width="10.75390625" style="0" customWidth="1"/>
  </cols>
  <sheetData>
    <row r="1" spans="2:14" s="8" customFormat="1" ht="12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36.75" customHeight="1">
      <c r="A2" s="248" t="s">
        <v>284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22" s="11" customFormat="1" ht="60.75" customHeight="1">
      <c r="A3" s="248" t="s">
        <v>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P3" s="12" t="s">
        <v>2</v>
      </c>
      <c r="Q3" s="12"/>
      <c r="R3" s="12"/>
      <c r="S3" s="12"/>
      <c r="T3" s="12"/>
      <c r="U3" s="12"/>
      <c r="V3" s="12"/>
    </row>
    <row r="4" spans="6:246" ht="61.5" customHeight="1">
      <c r="F4" s="13" t="s">
        <v>3</v>
      </c>
      <c r="G4" s="13"/>
      <c r="H4" s="13"/>
      <c r="I4" s="14" t="s">
        <v>4</v>
      </c>
      <c r="J4" s="14"/>
      <c r="K4" s="14"/>
      <c r="L4" s="14"/>
      <c r="M4" s="14"/>
      <c r="N4" s="14"/>
      <c r="IL4" s="1"/>
    </row>
    <row r="5" spans="1:246" ht="78.75" customHeight="1">
      <c r="A5" s="15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8" t="s">
        <v>11</v>
      </c>
      <c r="H5" s="17" t="s">
        <v>12</v>
      </c>
      <c r="I5" s="19" t="s">
        <v>13</v>
      </c>
      <c r="J5" s="19" t="s">
        <v>14</v>
      </c>
      <c r="K5" s="20" t="s">
        <v>15</v>
      </c>
      <c r="L5" s="21" t="s">
        <v>16</v>
      </c>
      <c r="M5" s="22" t="s">
        <v>17</v>
      </c>
      <c r="N5" s="22"/>
      <c r="P5" s="16" t="s">
        <v>8</v>
      </c>
      <c r="Q5" s="23" t="s">
        <v>18</v>
      </c>
      <c r="R5" s="20" t="s">
        <v>15</v>
      </c>
      <c r="S5" s="21" t="s">
        <v>16</v>
      </c>
      <c r="T5" s="24" t="s">
        <v>19</v>
      </c>
      <c r="U5" s="22" t="s">
        <v>17</v>
      </c>
      <c r="V5" s="22"/>
      <c r="IL5" s="1"/>
    </row>
    <row r="6" spans="1:246" ht="47.25" customHeight="1">
      <c r="A6" s="25"/>
      <c r="B6" s="26" t="s">
        <v>20</v>
      </c>
      <c r="C6" s="26"/>
      <c r="D6" s="26"/>
      <c r="E6" s="27" t="s">
        <v>21</v>
      </c>
      <c r="F6" s="27"/>
      <c r="G6" s="27"/>
      <c r="H6" s="27"/>
      <c r="I6" s="28" t="s">
        <v>20</v>
      </c>
      <c r="J6" s="28" t="s">
        <v>22</v>
      </c>
      <c r="K6" s="29" t="s">
        <v>23</v>
      </c>
      <c r="L6" s="30" t="s">
        <v>24</v>
      </c>
      <c r="M6" s="31">
        <v>-0.8</v>
      </c>
      <c r="N6" s="31">
        <v>-1.2</v>
      </c>
      <c r="P6" s="32"/>
      <c r="Q6" s="33" t="s">
        <v>25</v>
      </c>
      <c r="R6" s="29" t="s">
        <v>23</v>
      </c>
      <c r="S6" s="30" t="s">
        <v>26</v>
      </c>
      <c r="T6" s="34" t="s">
        <v>27</v>
      </c>
      <c r="U6" s="31">
        <v>-0.8</v>
      </c>
      <c r="V6" s="31">
        <v>-1.2</v>
      </c>
      <c r="IL6" s="1"/>
    </row>
    <row r="7" spans="2:246" ht="27.75" customHeight="1">
      <c r="B7" s="35"/>
      <c r="C7" s="36"/>
      <c r="D7" s="37"/>
      <c r="E7" s="38"/>
      <c r="F7" s="39"/>
      <c r="G7" s="39"/>
      <c r="H7" s="39"/>
      <c r="I7" s="19" t="s">
        <v>28</v>
      </c>
      <c r="J7" s="19" t="s">
        <v>29</v>
      </c>
      <c r="K7" s="40" t="s">
        <v>30</v>
      </c>
      <c r="L7" s="41" t="s">
        <v>30</v>
      </c>
      <c r="M7" s="42" t="s">
        <v>30</v>
      </c>
      <c r="N7" s="42" t="s">
        <v>30</v>
      </c>
      <c r="P7" s="43"/>
      <c r="Q7" s="19"/>
      <c r="R7" s="40"/>
      <c r="S7" s="41"/>
      <c r="T7" s="44"/>
      <c r="U7" s="42"/>
      <c r="V7" s="42"/>
      <c r="IL7" s="1"/>
    </row>
    <row r="8" spans="2:246" ht="16.5">
      <c r="B8" s="35"/>
      <c r="C8" s="36"/>
      <c r="D8" s="37"/>
      <c r="E8" s="38"/>
      <c r="F8" s="39"/>
      <c r="G8" s="39"/>
      <c r="H8" s="39"/>
      <c r="I8" s="19"/>
      <c r="J8" s="19"/>
      <c r="K8" s="40"/>
      <c r="L8" s="41"/>
      <c r="M8" s="42"/>
      <c r="N8" s="42"/>
      <c r="P8" s="43"/>
      <c r="Q8" s="43"/>
      <c r="R8" s="40"/>
      <c r="S8" s="45"/>
      <c r="T8" s="44"/>
      <c r="U8" s="46"/>
      <c r="V8" s="46"/>
      <c r="IL8" s="1"/>
    </row>
    <row r="9" spans="1:22" ht="29.25">
      <c r="A9" s="47" t="s">
        <v>31</v>
      </c>
      <c r="B9" s="47" t="s">
        <v>32</v>
      </c>
      <c r="C9" s="48" t="s">
        <v>33</v>
      </c>
      <c r="D9" s="49" t="s">
        <v>34</v>
      </c>
      <c r="E9" s="50" t="s">
        <v>35</v>
      </c>
      <c r="F9" s="51">
        <v>0.4</v>
      </c>
      <c r="G9" s="51">
        <v>0.9</v>
      </c>
      <c r="H9" s="51">
        <v>0.65</v>
      </c>
      <c r="I9" s="52">
        <v>687.9</v>
      </c>
      <c r="J9" s="53">
        <v>27838</v>
      </c>
      <c r="K9" s="54">
        <f>IF(J9="-",0,I9*J9)</f>
        <v>19149760.2</v>
      </c>
      <c r="L9" s="55">
        <f>IF(H9="-","-",$K9*H9)</f>
        <v>12447344.13</v>
      </c>
      <c r="M9" s="56">
        <f>IF($H9="-","-",(($K9/(-0.8+1)*((1/(1-$H9))^(-0.8+1)-1))))</f>
        <v>22370191.891103175</v>
      </c>
      <c r="N9" s="56">
        <f>IF($H9="-","-",(($K9/(-1.2+1)*((1/(1-$H9))^(-1.2+1)-1))))</f>
        <v>18133570.218362253</v>
      </c>
      <c r="O9" s="57"/>
      <c r="P9" s="58" t="s">
        <v>36</v>
      </c>
      <c r="Q9" s="59">
        <f>SUMIF($D$9:$D$62,$P9,$K$9:$K$62)/SUMIF($D$9:$D$62,$P9,$J$9:$J$62)</f>
        <v>203.31993210775954</v>
      </c>
      <c r="R9" s="217">
        <f>SUMIF($D$9:$D$62,$P9,$K$9:$K$62)</f>
        <v>13116982.1</v>
      </c>
      <c r="S9" s="218">
        <f>SUMIF($D$9:$D$62,$P9,$L$9:$L$62)</f>
        <v>0</v>
      </c>
      <c r="T9" s="62">
        <f>IF(R9=0,"-",S9/R9)</f>
        <v>0</v>
      </c>
      <c r="U9" s="219">
        <f>SUMIF($D$9:$D$62,$P9,$M$9:$M$62)</f>
        <v>0</v>
      </c>
      <c r="V9" s="219">
        <f>SUMIF($D$9:$D$62,$P9,$N$9:$N$62)</f>
        <v>0</v>
      </c>
    </row>
    <row r="10" spans="1:22" ht="16.5">
      <c r="A10" s="64" t="s">
        <v>37</v>
      </c>
      <c r="B10" s="64" t="s">
        <v>38</v>
      </c>
      <c r="C10" s="65" t="s">
        <v>39</v>
      </c>
      <c r="D10" s="66" t="s">
        <v>40</v>
      </c>
      <c r="E10" s="67" t="s">
        <v>35</v>
      </c>
      <c r="F10" s="68">
        <v>0.4</v>
      </c>
      <c r="G10" s="68">
        <v>0.9</v>
      </c>
      <c r="H10" s="68">
        <v>0.65</v>
      </c>
      <c r="I10" s="69">
        <v>342.2</v>
      </c>
      <c r="J10" s="70">
        <v>3225</v>
      </c>
      <c r="K10" s="71">
        <f>IF(J10="-",0,I10*J10)</f>
        <v>1103595</v>
      </c>
      <c r="L10" s="72">
        <f>IF(H10="-","-",K10*H10)</f>
        <v>717336.75</v>
      </c>
      <c r="M10" s="73">
        <f>IF($H10="-","-",(($K10/(-0.8+1)*((1/(1-$H10))^(-0.8+1)-1))))</f>
        <v>1289187.5230929528</v>
      </c>
      <c r="N10" s="73">
        <f>IF($H10="-","-",(($K10/(-1.2+1)*((1/(1-$H10))^(-1.2+1)-1))))</f>
        <v>1045032.272787076</v>
      </c>
      <c r="O10" s="57"/>
      <c r="P10" s="66" t="s">
        <v>40</v>
      </c>
      <c r="Q10" s="74">
        <f>SUMIF($D$9:$D$62,$P10,$K$9:$K$62)/SUMIF($D$9:$D$62,$P10,$J$9:$J$62)</f>
        <v>364.1045056692513</v>
      </c>
      <c r="R10" s="220">
        <f>SUMIF($D$9:$D$62,$P10,$K$9:$K$62)</f>
        <v>432294725.70000005</v>
      </c>
      <c r="S10" s="221">
        <f>SUMIF($D$9:$D$62,$P10,$L$9:$L$62)</f>
        <v>137097022.375</v>
      </c>
      <c r="T10" s="77">
        <f>IF(R10=0,"-",S10/R10)</f>
        <v>0.3171378557834669</v>
      </c>
      <c r="U10" s="222">
        <f>SUMIF($D$9:$D$62,$P10,$M$9:$M$62)</f>
        <v>241975024.51207566</v>
      </c>
      <c r="V10" s="222">
        <f>SUMIF($D$9:$D$62,$P10,$N$9:$N$62)</f>
        <v>197213688.2562129</v>
      </c>
    </row>
    <row r="11" spans="1:22" ht="29.25">
      <c r="A11" s="64" t="s">
        <v>41</v>
      </c>
      <c r="B11" s="64" t="s">
        <v>42</v>
      </c>
      <c r="C11" s="65" t="s">
        <v>43</v>
      </c>
      <c r="D11" s="66" t="s">
        <v>40</v>
      </c>
      <c r="E11" s="67" t="s">
        <v>35</v>
      </c>
      <c r="F11" s="68">
        <v>0.4</v>
      </c>
      <c r="G11" s="68">
        <v>0.9</v>
      </c>
      <c r="H11" s="68">
        <v>0.65</v>
      </c>
      <c r="I11" s="69">
        <v>745.8</v>
      </c>
      <c r="J11" s="70">
        <v>59823</v>
      </c>
      <c r="K11" s="71">
        <f>IF(J11="-",0,I11*J11)</f>
        <v>44615993.4</v>
      </c>
      <c r="L11" s="72">
        <f>IF(H11="-","-",K11*H11)</f>
        <v>29000395.71</v>
      </c>
      <c r="M11" s="73">
        <f>IF($H11="-","-",(($K11/(-0.8+1)*((1/(1-$H11))^(-0.8+1)-1))))</f>
        <v>52119103.49510239</v>
      </c>
      <c r="N11" s="73">
        <f>IF($H11="-","-",(($K11/(-1.2+1)*((1/(1-$H11))^(-1.2+1)-1))))</f>
        <v>42248427.172518164</v>
      </c>
      <c r="O11" s="57"/>
      <c r="P11" s="79" t="s">
        <v>44</v>
      </c>
      <c r="Q11" s="80">
        <f>SUMIF($D$9:$D$62,$P11,$K$9:$K$62)/SUMIF($D$9:$D$62,$P11,$J$9:$J$62)</f>
        <v>397.5988665648564</v>
      </c>
      <c r="R11" s="223">
        <f>SUMIF($D$9:$D$62,$P11,$K$9:$K$62)</f>
        <v>16662573.300000003</v>
      </c>
      <c r="S11" s="224">
        <f>SUMIF($D$9:$D$62,$P11,$L$9:$L$62)</f>
        <v>50422.575</v>
      </c>
      <c r="T11" s="83">
        <f>IF(R11=0,"-",S11/R11)</f>
        <v>0.0030260977156511587</v>
      </c>
      <c r="U11" s="225">
        <f>SUMIF($D$9:$D$62,$P11,$M$9:$M$62)</f>
        <v>59724.37134143623</v>
      </c>
      <c r="V11" s="225">
        <f>SUMIF($D$9:$D$62,$P11,$N$9:$N$62)</f>
        <v>56385.03310338917</v>
      </c>
    </row>
    <row r="12" spans="1:22" ht="42.75">
      <c r="A12" s="85" t="s">
        <v>45</v>
      </c>
      <c r="B12" s="85" t="s">
        <v>46</v>
      </c>
      <c r="C12" s="86" t="s">
        <v>47</v>
      </c>
      <c r="D12" s="87" t="s">
        <v>48</v>
      </c>
      <c r="E12" s="88" t="s">
        <v>49</v>
      </c>
      <c r="F12" s="89" t="str">
        <f>IF(E12="No aumenta",0,IF(E12="Pequeña",0,IF(E12="Moderada",0.1,IF(E12="Grande",0.4,IF(E12="Esencial",0.9,"-")))))</f>
        <v>-</v>
      </c>
      <c r="G12" s="89" t="str">
        <f>IF(E12="No aumenta",0,IF(E12="Pequeña",0.1,IF(E12="Moderada",0.4,IF(E12="Grande",0.9,IF(E12="Esencial",1,"-")))))</f>
        <v>-</v>
      </c>
      <c r="H12" s="89" t="str">
        <f>IF(F12="-","-",AVERAGE(F12:G12))</f>
        <v>-</v>
      </c>
      <c r="I12" s="90">
        <v>661.2</v>
      </c>
      <c r="J12" s="91">
        <v>78320</v>
      </c>
      <c r="K12" s="92">
        <f>IF(J12="-",0,I12*J12)</f>
        <v>51785184</v>
      </c>
      <c r="L12" s="93" t="str">
        <f>IF(H12="-","-",K12*H12)</f>
        <v>-</v>
      </c>
      <c r="M12" s="94" t="str">
        <f>IF($H12="-","-",(($K12/(-0.8+1)*((1/(1-$H12))^(-0.8+1)-1))))</f>
        <v>-</v>
      </c>
      <c r="N12" s="94" t="str">
        <f>IF($H12="-","-",(($K12/(-1.2+1)*((1/(1-$H12))^(-1.2+1)-1))))</f>
        <v>-</v>
      </c>
      <c r="O12" s="57"/>
      <c r="P12" s="95" t="s">
        <v>50</v>
      </c>
      <c r="Q12" s="96">
        <f>SUMIF($D$9:$D$62,$P12,$K$9:$K$62)/SUMIF($D$9:$D$62,$P12,$J$9:$J$62)</f>
        <v>242.238441890166</v>
      </c>
      <c r="R12" s="226">
        <f>SUMIF($D$9:$D$62,$P12,$K$9:$K$62)</f>
        <v>189672.69999999998</v>
      </c>
      <c r="S12" s="227">
        <f>SUMIF($D$9:$D$62,$P12,$L$9:$L$62)</f>
        <v>3188.455</v>
      </c>
      <c r="T12" s="99">
        <f>IF(R12=0,"-",S12/R12)</f>
        <v>0.016810300058996367</v>
      </c>
      <c r="U12" s="228">
        <f>SUMIF($D$9:$D$62,$P12,$M$9:$M$62)</f>
        <v>3691.20280430211</v>
      </c>
      <c r="V12" s="228">
        <f>SUMIF($D$9:$D$62,$P12,$N$9:$N$62)</f>
        <v>3511.0829835202303</v>
      </c>
    </row>
    <row r="13" spans="1:22" ht="42.75">
      <c r="A13" s="85" t="s">
        <v>51</v>
      </c>
      <c r="B13" s="85" t="s">
        <v>52</v>
      </c>
      <c r="C13" s="86" t="s">
        <v>53</v>
      </c>
      <c r="D13" s="87" t="s">
        <v>48</v>
      </c>
      <c r="E13" s="88" t="s">
        <v>49</v>
      </c>
      <c r="F13" s="89" t="str">
        <f>IF(E13="No aumenta",0,IF(E13="Pequeña",0,IF(E13="Moderada",0.1,IF(E13="Grande",0.4,IF(E13="Esencial",0.9,"-")))))</f>
        <v>-</v>
      </c>
      <c r="G13" s="89" t="str">
        <f>IF(E13="No aumenta",0,IF(E13="Pequeña",0.1,IF(E13="Moderada",0.4,IF(E13="Grande",0.9,IF(E13="Esencial",1,"-")))))</f>
        <v>-</v>
      </c>
      <c r="H13" s="89" t="str">
        <f>IF(F13="-","-",AVERAGE(F13:G13))</f>
        <v>-</v>
      </c>
      <c r="I13" s="90">
        <v>1257.3</v>
      </c>
      <c r="J13" s="91">
        <v>48</v>
      </c>
      <c r="K13" s="92">
        <f>IF(J13="-",0,I13*J13)</f>
        <v>60350.399999999994</v>
      </c>
      <c r="L13" s="93" t="str">
        <f>IF(H13="-","-",K13*H13)</f>
        <v>-</v>
      </c>
      <c r="M13" s="94" t="str">
        <f>IF($H13="-","-",(($K13/(-0.8+1)*((1/(1-$H13))^(-0.8+1)-1))))</f>
        <v>-</v>
      </c>
      <c r="N13" s="94" t="str">
        <f>IF($H13="-","-",(($K13/(-1.2+1)*((1/(1-$H13))^(-1.2+1)-1))))</f>
        <v>-</v>
      </c>
      <c r="O13" s="57"/>
      <c r="P13" s="101" t="s">
        <v>54</v>
      </c>
      <c r="Q13" s="102">
        <f>SUMIF($D$9:$D$62,$P13,$K$9:$K$62)/SUMIF($D$9:$D$62,$P13,$J$9:$J$62)</f>
        <v>212.84079125787667</v>
      </c>
      <c r="R13" s="229">
        <f>SUMIF($D$9:$D$62,$P13,$K$9:$K$62)</f>
        <v>16010309.999999998</v>
      </c>
      <c r="S13" s="230">
        <f>SUMIF($D$9:$D$62,$P13,$L$9:$L$62)</f>
        <v>0</v>
      </c>
      <c r="T13" s="105">
        <f>IF(R13=0,"-",S13/R13)</f>
        <v>0</v>
      </c>
      <c r="U13" s="231">
        <f>SUMIF($D$9:$D$62,$P13,$M$9:$M$62)</f>
        <v>0</v>
      </c>
      <c r="V13" s="231">
        <f>SUMIF($D$9:$D$62,$P13,$N$9:$N$62)</f>
        <v>0</v>
      </c>
    </row>
    <row r="14" spans="1:22" ht="16.5">
      <c r="A14" s="119" t="s">
        <v>65</v>
      </c>
      <c r="B14" s="119" t="s">
        <v>66</v>
      </c>
      <c r="C14" s="120" t="s">
        <v>67</v>
      </c>
      <c r="D14" s="121" t="s">
        <v>36</v>
      </c>
      <c r="E14" s="122" t="s">
        <v>68</v>
      </c>
      <c r="F14" s="123">
        <v>0</v>
      </c>
      <c r="G14" s="123">
        <v>0</v>
      </c>
      <c r="H14" s="123">
        <v>0</v>
      </c>
      <c r="I14" s="124">
        <v>194.8</v>
      </c>
      <c r="J14" s="125">
        <v>31335</v>
      </c>
      <c r="K14" s="126">
        <f>IF(J14="-",0,I14*J14)</f>
        <v>6104058</v>
      </c>
      <c r="L14" s="127">
        <f>IF(H14="-","-",K14*H14)</f>
        <v>0</v>
      </c>
      <c r="M14" s="128">
        <f>IF($H14="-","-",(($K14/(-0.8+1)*((1/(1-$H14))^(-0.8+1)-1))))</f>
        <v>0</v>
      </c>
      <c r="N14" s="128">
        <f>IF($H14="-","-",(($K14/(-1.2+1)*((1/(1-$H14))^(-1.2+1)-1))))</f>
        <v>0</v>
      </c>
      <c r="O14" s="57"/>
      <c r="P14" s="107" t="s">
        <v>58</v>
      </c>
      <c r="Q14" s="108">
        <f>SUMIF($D$9:$D$62,$P14,$K$9:$K$62)/SUMIF($D$9:$D$62,$P14,$J$9:$J$62)</f>
        <v>3476.9</v>
      </c>
      <c r="R14" s="250">
        <f>SUMIF($D$9:$D$62,$P14,$K$9:$K$62)</f>
        <v>8122038.4</v>
      </c>
      <c r="S14" s="251">
        <f>SUMIF($D$9:$D$62,$P14,$L$9:$L$62)</f>
        <v>406101.92000000004</v>
      </c>
      <c r="T14" s="111">
        <f>IF(R14=0,"-",S14/R14)</f>
        <v>0.05</v>
      </c>
      <c r="U14" s="252">
        <f>SUMIF($D$9:$D$62,$P14,$M$9:$M$62)</f>
        <v>418750.3427015737</v>
      </c>
      <c r="V14" s="252">
        <f>SUMIF($D$9:$D$62,$P14,$N$9:$N$62)</f>
        <v>414476.485285313</v>
      </c>
    </row>
    <row r="15" spans="1:22" ht="42.75">
      <c r="A15" s="134" t="s">
        <v>69</v>
      </c>
      <c r="B15" s="134" t="s">
        <v>70</v>
      </c>
      <c r="C15" s="135" t="s">
        <v>71</v>
      </c>
      <c r="D15" s="95" t="s">
        <v>50</v>
      </c>
      <c r="E15" s="136" t="s">
        <v>72</v>
      </c>
      <c r="F15" s="137">
        <v>0</v>
      </c>
      <c r="G15" s="137">
        <v>0.1</v>
      </c>
      <c r="H15" s="137">
        <v>0.05</v>
      </c>
      <c r="I15" s="138">
        <v>1857.6</v>
      </c>
      <c r="J15" s="139">
        <v>6</v>
      </c>
      <c r="K15" s="140">
        <f>IF(J15="-",0,I15*J15)</f>
        <v>11145.599999999999</v>
      </c>
      <c r="L15" s="141">
        <f>IF(H15="-","-",K15*H15)</f>
        <v>557.28</v>
      </c>
      <c r="M15" s="142">
        <f>IF($H15="-","-",(($K15/(-0.8+1)*((1/(1-$H15))^(-0.8+1)-1))))</f>
        <v>574.6370048699424</v>
      </c>
      <c r="N15" s="142">
        <f>IF($H15="-","-",(($K15/(-1.2+1)*((1/(1-$H15))^(-1.2+1)-1))))</f>
        <v>568.7721341475046</v>
      </c>
      <c r="O15" s="57"/>
      <c r="P15" s="49" t="s">
        <v>34</v>
      </c>
      <c r="Q15" s="129">
        <f>SUMIF($D$9:$D$62,$P15,$K$9:$K$62)/SUMIF($D$9:$D$62,$P15,$J$9:$J$62)</f>
        <v>700.8516173801644</v>
      </c>
      <c r="R15" s="232">
        <f>SUMIF($D$9:$D$62,$P15,$K$9:$K$62)</f>
        <v>19694631.3</v>
      </c>
      <c r="S15" s="233">
        <f>SUMIF($D$9:$D$62,$P15,$L$9:$L$62)</f>
        <v>12447344.13</v>
      </c>
      <c r="T15" s="132">
        <f>IF(R15=0,"-",S15/R15)</f>
        <v>0.632017118797243</v>
      </c>
      <c r="U15" s="234">
        <f>SUMIF($D$9:$D$62,$P15,$M$9:$M$62)</f>
        <v>22370191.891103175</v>
      </c>
      <c r="V15" s="234">
        <f>SUMIF($D$9:$D$62,$P15,$N$9:$N$62)</f>
        <v>18133570.218362253</v>
      </c>
    </row>
    <row r="16" spans="1:22" ht="29.25">
      <c r="A16" s="85" t="s">
        <v>73</v>
      </c>
      <c r="B16" s="85" t="s">
        <v>74</v>
      </c>
      <c r="C16" s="86" t="s">
        <v>75</v>
      </c>
      <c r="D16" s="87" t="s">
        <v>48</v>
      </c>
      <c r="E16" s="88" t="s">
        <v>72</v>
      </c>
      <c r="F16" s="89">
        <v>0</v>
      </c>
      <c r="G16" s="89">
        <v>0.1</v>
      </c>
      <c r="H16" s="89">
        <v>0.05</v>
      </c>
      <c r="I16" s="90">
        <v>1536</v>
      </c>
      <c r="J16" s="91">
        <v>654</v>
      </c>
      <c r="K16" s="92">
        <f>IF(J16="-",0,I16*J16)</f>
        <v>1004544</v>
      </c>
      <c r="L16" s="93">
        <f>IF(H16="-","-",K16*H16)</f>
        <v>50227.200000000004</v>
      </c>
      <c r="M16" s="94">
        <f>IF($H16="-","-",(($K16/(-0.8+1)*((1/(1-$H16))^(-0.8+1)-1))))</f>
        <v>51791.57294538397</v>
      </c>
      <c r="N16" s="94">
        <f>IF($H16="-","-",(($K16/(-1.2+1)*((1/(1-$H16))^(-1.2+1)-1))))</f>
        <v>51262.9768451291</v>
      </c>
      <c r="O16" s="57"/>
      <c r="P16" s="87" t="s">
        <v>48</v>
      </c>
      <c r="Q16" s="143">
        <f>SUMIF($D$9:$D$62,$P16,$K$9:$K$62)/SUMIF($D$9:$D$62,$P16,$J$9:$J$62)</f>
        <v>376.08124786119384</v>
      </c>
      <c r="R16" s="235">
        <f>SUMIF($D$9:$D$62,$P16,$K$9:$K$62)</f>
        <v>535203856.4</v>
      </c>
      <c r="S16" s="236">
        <f>SUMIF($D$9:$D$62,$P16,$L$9:$L$62)</f>
        <v>98914157.37499999</v>
      </c>
      <c r="T16" s="146">
        <f>IF(R16=0,"-",S16/R16)</f>
        <v>0.1848158532345732</v>
      </c>
      <c r="U16" s="237">
        <f>SUMIF($D$9:$D$62,$P16,$M$9:$M$62)</f>
        <v>382541362.8566077</v>
      </c>
      <c r="V16" s="237">
        <f>SUMIF($D$9:$D$62,$P16,$N$9:$N$62)</f>
        <v>216688144.46506318</v>
      </c>
    </row>
    <row r="17" spans="1:22" ht="42.75">
      <c r="A17" s="134" t="s">
        <v>254</v>
      </c>
      <c r="B17" s="134" t="s">
        <v>77</v>
      </c>
      <c r="C17" s="135" t="s">
        <v>78</v>
      </c>
      <c r="D17" s="95" t="s">
        <v>50</v>
      </c>
      <c r="E17" s="136" t="s">
        <v>79</v>
      </c>
      <c r="F17" s="137">
        <v>0.1</v>
      </c>
      <c r="G17" s="137">
        <v>0.4</v>
      </c>
      <c r="H17" s="137">
        <v>0.25</v>
      </c>
      <c r="I17" s="138">
        <v>256.7</v>
      </c>
      <c r="J17" s="139">
        <v>41</v>
      </c>
      <c r="K17" s="140">
        <f>IF(J17="-",0,I17*J17)</f>
        <v>10524.699999999999</v>
      </c>
      <c r="L17" s="141">
        <f>IF(H17="-","-",K17*H17)</f>
        <v>2631.1749999999997</v>
      </c>
      <c r="M17" s="142">
        <f>IF($H17="-","-",(($K17/(-0.8+1)*((1/(1-$H17))^(-0.8+1)-1))))</f>
        <v>3116.5657994321678</v>
      </c>
      <c r="N17" s="142">
        <f>IF($H17="-","-",(($K17/(-1.2+1)*((1/(1-$H17))^(-1.2+1)-1))))</f>
        <v>2942.310849372726</v>
      </c>
      <c r="O17" s="57"/>
      <c r="P17" s="57"/>
      <c r="Q17" s="57"/>
      <c r="R17" s="238"/>
      <c r="S17" s="239"/>
      <c r="T17" s="150"/>
      <c r="U17" s="240"/>
      <c r="V17" s="240"/>
    </row>
    <row r="18" spans="1:22" ht="42.75">
      <c r="A18" s="85" t="s">
        <v>81</v>
      </c>
      <c r="B18" s="85" t="s">
        <v>82</v>
      </c>
      <c r="C18" s="86" t="s">
        <v>83</v>
      </c>
      <c r="D18" s="87" t="s">
        <v>48</v>
      </c>
      <c r="E18" s="88" t="s">
        <v>49</v>
      </c>
      <c r="F18" s="89" t="str">
        <f>IF(E18="No aumenta",0,IF(E18="Pequeña",0,IF(E18="Moderada",0.1,IF(E18="Grande",0.4,IF(E18="Esencial",0.9,"-")))))</f>
        <v>-</v>
      </c>
      <c r="G18" s="89" t="str">
        <f>IF(E18="No aumenta",0,IF(E18="Pequeña",0.1,IF(E18="Moderada",0.4,IF(E18="Grande",0.9,IF(E18="Esencial",1,"-")))))</f>
        <v>-</v>
      </c>
      <c r="H18" s="89" t="str">
        <f>IF(F18="-","-",AVERAGE(F18:G18))</f>
        <v>-</v>
      </c>
      <c r="I18" s="90">
        <v>247</v>
      </c>
      <c r="J18" s="91">
        <v>3857</v>
      </c>
      <c r="K18" s="92">
        <f>IF(J18="-",0,I18*J18)</f>
        <v>952679</v>
      </c>
      <c r="L18" s="93" t="str">
        <f>IF(H18="-","-",K18*H18)</f>
        <v>-</v>
      </c>
      <c r="M18" s="94" t="str">
        <f>IF($H18="-","-",(($K18/(-0.8+1)*((1/(1-$H18))^(-0.8+1)-1))))</f>
        <v>-</v>
      </c>
      <c r="N18" s="94" t="str">
        <f>IF($H18="-","-",(($K18/(-1.2+1)*((1/(1-$H18))^(-1.2+1)-1))))</f>
        <v>-</v>
      </c>
      <c r="O18" s="57"/>
      <c r="P18" s="152" t="s">
        <v>80</v>
      </c>
      <c r="Q18" s="152"/>
      <c r="R18" s="241">
        <f>SUM(R9:R16)</f>
        <v>1041294789.9</v>
      </c>
      <c r="S18" s="242">
        <f>SUM(S9:S16)</f>
        <v>248918236.82999998</v>
      </c>
      <c r="T18" s="155">
        <f>IF(R18=0,"-",S18/R18)</f>
        <v>0.2390468474867762</v>
      </c>
      <c r="U18" s="243">
        <f>SUM(U9:U16)</f>
        <v>647368745.1766338</v>
      </c>
      <c r="V18" s="243">
        <f>SUM(V9:V16)</f>
        <v>432509775.54101056</v>
      </c>
    </row>
    <row r="19" spans="1:15" ht="42.75">
      <c r="A19" s="85" t="s">
        <v>84</v>
      </c>
      <c r="B19" s="85" t="s">
        <v>85</v>
      </c>
      <c r="C19" s="86" t="s">
        <v>86</v>
      </c>
      <c r="D19" s="87" t="s">
        <v>48</v>
      </c>
      <c r="E19" s="88" t="s">
        <v>49</v>
      </c>
      <c r="F19" s="89" t="str">
        <f>IF(E19="No aumenta",0,IF(E19="Pequeña",0,IF(E19="Moderada",0.1,IF(E19="Grande",0.4,IF(E19="Esencial",0.9,"-")))))</f>
        <v>-</v>
      </c>
      <c r="G19" s="89" t="str">
        <f>IF(E19="No aumenta",0,IF(E19="Pequeña",0.1,IF(E19="Moderada",0.4,IF(E19="Grande",0.9,IF(E19="Esencial",1,"-")))))</f>
        <v>-</v>
      </c>
      <c r="H19" s="89" t="str">
        <f>IF(F19="-","-",AVERAGE(F19:G19))</f>
        <v>-</v>
      </c>
      <c r="I19" s="90">
        <v>283.4</v>
      </c>
      <c r="J19" s="91">
        <v>633</v>
      </c>
      <c r="K19" s="92">
        <f>IF(J19="-",0,I19*J19)</f>
        <v>179392.19999999998</v>
      </c>
      <c r="L19" s="93" t="str">
        <f>IF(H19="-","-",K19*H19)</f>
        <v>-</v>
      </c>
      <c r="M19" s="94" t="str">
        <f>IF($H19="-","-",(($K19/(-0.8+1)*((1/(1-$H19))^(-0.8+1)-1))))</f>
        <v>-</v>
      </c>
      <c r="N19" s="94" t="str">
        <f>IF($H19="-","-",(($K19/(-1.2+1)*((1/(1-$H19))^(-1.2+1)-1))))</f>
        <v>-</v>
      </c>
      <c r="O19" s="57"/>
    </row>
    <row r="20" spans="1:15" ht="42.75">
      <c r="A20" s="85" t="s">
        <v>281</v>
      </c>
      <c r="B20" s="85" t="s">
        <v>88</v>
      </c>
      <c r="C20" s="86" t="s">
        <v>83</v>
      </c>
      <c r="D20" s="87" t="s">
        <v>48</v>
      </c>
      <c r="E20" s="88" t="s">
        <v>49</v>
      </c>
      <c r="F20" s="89" t="str">
        <f>IF(E20="No aumenta",0,IF(E20="Pequeña",0,IF(E20="Moderada",0.1,IF(E20="Grande",0.4,IF(E20="Esencial",0.9,"-")))))</f>
        <v>-</v>
      </c>
      <c r="G20" s="89" t="str">
        <f>IF(E20="No aumenta",0,IF(E20="Pequeña",0.1,IF(E20="Moderada",0.4,IF(E20="Grande",0.9,IF(E20="Esencial",1,"-")))))</f>
        <v>-</v>
      </c>
      <c r="H20" s="89" t="str">
        <f>IF(F20="-","-",AVERAGE(F20:G20))</f>
        <v>-</v>
      </c>
      <c r="I20" s="90">
        <v>325.3</v>
      </c>
      <c r="J20" s="91">
        <f>25242+164579</f>
        <v>189821</v>
      </c>
      <c r="K20" s="92">
        <f>IF(J20="-",0,I20*J20)</f>
        <v>61748771.300000004</v>
      </c>
      <c r="L20" s="93" t="str">
        <f>IF(H20="-","-",K20*H20)</f>
        <v>-</v>
      </c>
      <c r="M20" s="94" t="str">
        <f>IF($H20="-","-",(($K20/(-0.8+1)*((1/(1-$H20))^(-0.8+1)-1))))</f>
        <v>-</v>
      </c>
      <c r="N20" s="94" t="str">
        <f>IF($H20="-","-",(($K20/(-1.2+1)*((1/(1-$H20))^(-1.2+1)-1))))</f>
        <v>-</v>
      </c>
      <c r="O20" s="57"/>
    </row>
    <row r="21" spans="1:15" ht="29.25">
      <c r="A21" s="64" t="s">
        <v>246</v>
      </c>
      <c r="B21" s="64" t="s">
        <v>90</v>
      </c>
      <c r="C21" s="65" t="s">
        <v>91</v>
      </c>
      <c r="D21" s="66" t="s">
        <v>40</v>
      </c>
      <c r="E21" s="67" t="s">
        <v>35</v>
      </c>
      <c r="F21" s="68">
        <f>IF(E21="No aumenta",0,IF(E21="Pequeña",0,IF(E21="Moderada",0.1,IF(E21="Grande",0.4,IF(E21="Esencial",0.9,"-")))))</f>
        <v>0.4</v>
      </c>
      <c r="G21" s="68">
        <f>IF(E21="No aumenta",0,IF(E21="Pequeña",0.1,IF(E21="Moderada",0.4,IF(E21="Grande",0.9,IF(E21="Esencial",1,"-")))))</f>
        <v>0.9</v>
      </c>
      <c r="H21" s="68">
        <f>IF(F21="-","-",AVERAGE(F21:G21))</f>
        <v>0.65</v>
      </c>
      <c r="I21" s="69">
        <v>1344.2</v>
      </c>
      <c r="J21" s="70">
        <v>1965</v>
      </c>
      <c r="K21" s="71">
        <f>IF(J21="-",0,I21*J21)</f>
        <v>2641353</v>
      </c>
      <c r="L21" s="72">
        <f>IF(H21="-","-",K21*H21)</f>
        <v>1716879.45</v>
      </c>
      <c r="M21" s="73">
        <f>IF($H21="-","-",(($K21/(-0.8+1)*((1/(1-$H21))^(-0.8+1)-1))))</f>
        <v>3085551.6123977914</v>
      </c>
      <c r="N21" s="73">
        <f>IF($H21="-","-",(($K21/(-1.2+1)*((1/(1-$H21))^(-1.2+1)-1))))</f>
        <v>2501188.505586707</v>
      </c>
      <c r="O21" s="57"/>
    </row>
    <row r="22" spans="1:15" ht="16.5">
      <c r="A22" s="47" t="s">
        <v>92</v>
      </c>
      <c r="B22" s="47" t="s">
        <v>93</v>
      </c>
      <c r="C22" s="48" t="s">
        <v>94</v>
      </c>
      <c r="D22" s="49" t="s">
        <v>34</v>
      </c>
      <c r="E22" s="50" t="s">
        <v>79</v>
      </c>
      <c r="F22" s="51">
        <f>IF(E22="No aumenta",0,IF(E22="Pequeña",0,IF(E22="Moderada",0.1,IF(E22="Grande",0.4,IF(E22="Esencial",0.9,"-")))))</f>
        <v>0.1</v>
      </c>
      <c r="G22" s="51">
        <f>IF(E22="No aumenta",0,IF(E22="Pequeña",0.1,IF(E22="Moderada",0.4,IF(E22="Grande",0.9,IF(E22="Esencial",1,"-")))))</f>
        <v>0.4</v>
      </c>
      <c r="H22" s="51">
        <f>IF(F22="-","-",AVERAGE(F22:G22))</f>
        <v>0.25</v>
      </c>
      <c r="I22" s="157">
        <v>1532.8</v>
      </c>
      <c r="J22" s="158"/>
      <c r="K22" s="54">
        <f>IF(J22="-",0,I22*J22)</f>
        <v>0</v>
      </c>
      <c r="L22" s="55">
        <f>IF(H22="-","-",K22*H22)</f>
        <v>0</v>
      </c>
      <c r="M22" s="56">
        <f>IF($H22="-","-",(($K22/(-0.8+1)*((1/(1-$H22))^(-0.8+1)-1))))</f>
        <v>0</v>
      </c>
      <c r="N22" s="56">
        <f>IF($H22="-","-",(($K22/(-1.2+1)*((1/(1-$H22))^(-1.2+1)-1))))</f>
        <v>0</v>
      </c>
      <c r="O22" s="57"/>
    </row>
    <row r="23" spans="1:15" ht="16.5">
      <c r="A23" s="134" t="s">
        <v>95</v>
      </c>
      <c r="B23" s="134" t="s">
        <v>96</v>
      </c>
      <c r="C23" s="135" t="s">
        <v>97</v>
      </c>
      <c r="D23" s="95" t="s">
        <v>50</v>
      </c>
      <c r="E23" s="136" t="s">
        <v>68</v>
      </c>
      <c r="F23" s="137">
        <v>0</v>
      </c>
      <c r="G23" s="137">
        <v>0</v>
      </c>
      <c r="H23" s="137">
        <v>0</v>
      </c>
      <c r="I23" s="138">
        <v>652.7</v>
      </c>
      <c r="J23" s="139">
        <v>8</v>
      </c>
      <c r="K23" s="140">
        <f>IF(J23="-",0,I23*J23)</f>
        <v>5221.6</v>
      </c>
      <c r="L23" s="141">
        <f>IF(H23="-","-",K23*H23)</f>
        <v>0</v>
      </c>
      <c r="M23" s="142">
        <f>IF($H23="-","-",(($K23/(-0.8+1)*((1/(1-$H23))^(-0.8+1)-1))))</f>
        <v>0</v>
      </c>
      <c r="N23" s="142">
        <f>IF($H23="-","-",(($K23/(-1.2+1)*((1/(1-$H23))^(-1.2+1)-1))))</f>
        <v>0</v>
      </c>
      <c r="O23" s="57"/>
    </row>
    <row r="24" spans="1:15" ht="42.75">
      <c r="A24" s="159" t="s">
        <v>98</v>
      </c>
      <c r="B24" s="159" t="s">
        <v>99</v>
      </c>
      <c r="C24" s="160" t="s">
        <v>100</v>
      </c>
      <c r="D24" s="161" t="s">
        <v>58</v>
      </c>
      <c r="E24" s="162" t="s">
        <v>72</v>
      </c>
      <c r="F24" s="163">
        <v>0</v>
      </c>
      <c r="G24" s="163">
        <v>0.1</v>
      </c>
      <c r="H24" s="163">
        <v>0.05</v>
      </c>
      <c r="I24" s="164">
        <v>3476.9</v>
      </c>
      <c r="J24" s="165">
        <v>2336</v>
      </c>
      <c r="K24" s="166">
        <f>IF(J24="-",0,I24*J24)</f>
        <v>8122038.4</v>
      </c>
      <c r="L24" s="167">
        <f>IF(H24="-","-",K24*H24)</f>
        <v>406101.92000000004</v>
      </c>
      <c r="M24" s="168">
        <f>IF($H24="-","-",(($K24/(-0.8+1)*((1/(1-$H24))^(-0.8+1)-1))))</f>
        <v>418750.3427015737</v>
      </c>
      <c r="N24" s="168">
        <f>IF($H24="-","-",(($K24/(-1.2+1)*((1/(1-$H24))^(-1.2+1)-1))))</f>
        <v>414476.485285313</v>
      </c>
      <c r="O24" s="57"/>
    </row>
    <row r="25" spans="1:15" ht="29.25">
      <c r="A25" s="85" t="s">
        <v>101</v>
      </c>
      <c r="B25" s="85" t="s">
        <v>102</v>
      </c>
      <c r="C25" s="86" t="s">
        <v>100</v>
      </c>
      <c r="D25" s="87" t="s">
        <v>48</v>
      </c>
      <c r="E25" s="88" t="s">
        <v>72</v>
      </c>
      <c r="F25" s="89">
        <v>0</v>
      </c>
      <c r="G25" s="89">
        <v>0.1</v>
      </c>
      <c r="H25" s="89">
        <v>0.05</v>
      </c>
      <c r="I25" s="90">
        <v>708.5</v>
      </c>
      <c r="J25" s="91">
        <v>110968</v>
      </c>
      <c r="K25" s="92">
        <f>IF(J25="-",0,I25*J25)</f>
        <v>78620828</v>
      </c>
      <c r="L25" s="93">
        <f>IF(H25="-","-",K25*H25)</f>
        <v>3931041.4000000004</v>
      </c>
      <c r="M25" s="94">
        <f>IF($H25="-","-",(($K25/(-0.8+1)*((1/(1-$H25))^(-0.8+1)-1))))</f>
        <v>4053477.3473222535</v>
      </c>
      <c r="N25" s="94">
        <f>IF($H25="-","-",(($K25/(-1.2+1)*((1/(1-$H25))^(-1.2+1)-1))))</f>
        <v>4012106.6725886352</v>
      </c>
      <c r="O25" s="57"/>
    </row>
    <row r="26" spans="1:15" ht="29.25">
      <c r="A26" s="85" t="s">
        <v>103</v>
      </c>
      <c r="B26" s="85" t="s">
        <v>104</v>
      </c>
      <c r="C26" s="86" t="s">
        <v>105</v>
      </c>
      <c r="D26" s="87" t="s">
        <v>48</v>
      </c>
      <c r="E26" s="88" t="s">
        <v>35</v>
      </c>
      <c r="F26" s="89">
        <v>0.4</v>
      </c>
      <c r="G26" s="89">
        <v>0.9</v>
      </c>
      <c r="H26" s="89">
        <v>0.65</v>
      </c>
      <c r="I26" s="90">
        <v>371.5</v>
      </c>
      <c r="J26" s="91">
        <v>13194</v>
      </c>
      <c r="K26" s="92">
        <f>IF(J26="-",0,I26*J26)</f>
        <v>4901571</v>
      </c>
      <c r="L26" s="93">
        <f>IF(H26="-","-",K26*H26)</f>
        <v>3186021.15</v>
      </c>
      <c r="M26" s="94">
        <f>IF($H26="-","-",(($K26/(-0.8+1)*((1/(1-$H26))^(-0.8+1)-1))))</f>
        <v>5725872.42308478</v>
      </c>
      <c r="N26" s="94">
        <f>IF($H26="-","-",(($K26/(-1.2+1)*((1/(1-$H26))^(-1.2+1)-1))))</f>
        <v>4641467.0983080035</v>
      </c>
      <c r="O26" s="57"/>
    </row>
    <row r="27" spans="1:15" ht="29.25">
      <c r="A27" s="85" t="s">
        <v>106</v>
      </c>
      <c r="B27" s="85" t="s">
        <v>107</v>
      </c>
      <c r="C27" s="86" t="s">
        <v>108</v>
      </c>
      <c r="D27" s="87" t="s">
        <v>48</v>
      </c>
      <c r="E27" s="88" t="s">
        <v>79</v>
      </c>
      <c r="F27" s="89">
        <v>0.1</v>
      </c>
      <c r="G27" s="89">
        <v>0.4</v>
      </c>
      <c r="H27" s="89">
        <v>0.25</v>
      </c>
      <c r="I27" s="90">
        <v>524.4</v>
      </c>
      <c r="J27" s="91">
        <v>2417</v>
      </c>
      <c r="K27" s="92">
        <f>IF(J27="-",0,I27*J27)</f>
        <v>1267474.8</v>
      </c>
      <c r="L27" s="93">
        <f>IF(H27="-","-",K27*H27)</f>
        <v>316868.7</v>
      </c>
      <c r="M27" s="94">
        <f>IF($H27="-","-",(($K27/(-0.8+1)*((1/(1-$H27))^(-0.8+1)-1))))</f>
        <v>375323.63044287515</v>
      </c>
      <c r="N27" s="94">
        <f>IF($H27="-","-",(($K27/(-1.2+1)*((1/(1-$H27))^(-1.2+1)-1))))</f>
        <v>354338.35219498194</v>
      </c>
      <c r="O27" s="57"/>
    </row>
    <row r="28" spans="1:15" ht="16.5">
      <c r="A28" s="64" t="s">
        <v>109</v>
      </c>
      <c r="B28" s="64" t="s">
        <v>110</v>
      </c>
      <c r="C28" s="65" t="s">
        <v>111</v>
      </c>
      <c r="D28" s="66" t="s">
        <v>40</v>
      </c>
      <c r="E28" s="67" t="s">
        <v>79</v>
      </c>
      <c r="F28" s="68">
        <f>IF(E28="No aumenta",0,IF(E28="Pequeña",0,IF(E28="Moderada",0.1,IF(E28="Grande",0.4,IF(E28="Esencial",0.9,"-")))))</f>
        <v>0.1</v>
      </c>
      <c r="G28" s="68">
        <f>IF(E28="No aumenta",0,IF(E28="Pequeña",0.1,IF(E28="Moderada",0.4,IF(E28="Grande",0.9,IF(E28="Esencial",1,"-")))))</f>
        <v>0.4</v>
      </c>
      <c r="H28" s="68">
        <f>IF(F28="-","-",AVERAGE(F28:G28))</f>
        <v>0.25</v>
      </c>
      <c r="I28" s="69">
        <v>1167.4</v>
      </c>
      <c r="J28" s="70">
        <v>292</v>
      </c>
      <c r="K28" s="71">
        <f>IF(J28="-",0,I28*J28)</f>
        <v>340880.80000000005</v>
      </c>
      <c r="L28" s="72">
        <f>IF(H28="-","-",K28*H28)</f>
        <v>85220.20000000001</v>
      </c>
      <c r="M28" s="73">
        <f>IF($H28="-","-",(($K28/(-0.8+1)*((1/(1-$H28))^(-0.8+1)-1))))</f>
        <v>100941.35157895971</v>
      </c>
      <c r="N28" s="73">
        <f>IF($H28="-","-",(($K28/(-1.2+1)*((1/(1-$H28))^(-1.2+1)-1))))</f>
        <v>95297.46939892392</v>
      </c>
      <c r="O28" s="57"/>
    </row>
    <row r="29" spans="1:15" ht="42.75">
      <c r="A29" s="85" t="s">
        <v>112</v>
      </c>
      <c r="B29" s="85" t="s">
        <v>113</v>
      </c>
      <c r="C29" s="86" t="s">
        <v>114</v>
      </c>
      <c r="D29" s="87" t="s">
        <v>48</v>
      </c>
      <c r="E29" s="88" t="s">
        <v>62</v>
      </c>
      <c r="F29" s="89" t="s">
        <v>63</v>
      </c>
      <c r="G29" s="89" t="s">
        <v>63</v>
      </c>
      <c r="H29" s="89" t="s">
        <v>63</v>
      </c>
      <c r="I29" s="90">
        <v>1879.1</v>
      </c>
      <c r="J29" s="91">
        <v>693</v>
      </c>
      <c r="K29" s="92">
        <f>IF(J29="-",0,I29*J29)</f>
        <v>1302216.3</v>
      </c>
      <c r="L29" s="93" t="str">
        <f>IF(H29="-","-",K29*H29)</f>
        <v>-</v>
      </c>
      <c r="M29" s="94" t="str">
        <f>IF($H29="-","-",(($K29/(-0.8+1)*((1/(1-$H29))^(-0.8+1)-1))))</f>
        <v>-</v>
      </c>
      <c r="N29" s="94" t="str">
        <f>IF($H29="-","-",(($K29/(-1.2+1)*((1/(1-$H29))^(-1.2+1)-1))))</f>
        <v>-</v>
      </c>
      <c r="O29" s="57"/>
    </row>
    <row r="30" spans="1:15" ht="29.25">
      <c r="A30" s="64" t="s">
        <v>115</v>
      </c>
      <c r="B30" s="64" t="s">
        <v>116</v>
      </c>
      <c r="C30" s="65" t="s">
        <v>117</v>
      </c>
      <c r="D30" s="66" t="s">
        <v>40</v>
      </c>
      <c r="E30" s="67" t="s">
        <v>72</v>
      </c>
      <c r="F30" s="68">
        <f>IF(E30="No aumenta",0,IF(E30="Pequeña",0,IF(E30="Moderada",0.1,IF(E30="Grande",0.4,IF(E30="Esencial",0.9,"-")))))</f>
        <v>0</v>
      </c>
      <c r="G30" s="68">
        <f>IF(E30="No aumenta",0,IF(E30="Pequeña",0.1,IF(E30="Moderada",0.4,IF(E30="Grande",0.9,IF(E30="Esencial",1,"-")))))</f>
        <v>0.1</v>
      </c>
      <c r="H30" s="68">
        <f>IF(F30="-","-",AVERAGE(F30:G30))</f>
        <v>0.05</v>
      </c>
      <c r="I30" s="69">
        <v>149</v>
      </c>
      <c r="J30" s="70">
        <v>29537</v>
      </c>
      <c r="K30" s="71">
        <f>IF(J30="-",0,I30*J30)</f>
        <v>4401013</v>
      </c>
      <c r="L30" s="72">
        <f>IF(H30="-","-",K30*H30)</f>
        <v>220050.65000000002</v>
      </c>
      <c r="M30" s="73">
        <f>IF($H30="-","-",(($K30/(-0.8+1)*((1/(1-$H30))^(-0.8+1)-1))))</f>
        <v>226904.33253603935</v>
      </c>
      <c r="N30" s="73">
        <f>IF($H30="-","-",(($K30/(-1.2+1)*((1/(1-$H30))^(-1.2+1)-1))))</f>
        <v>224588.49738200833</v>
      </c>
      <c r="O30" s="57"/>
    </row>
    <row r="31" spans="1:15" ht="16.5">
      <c r="A31" s="64" t="s">
        <v>118</v>
      </c>
      <c r="B31" s="64" t="s">
        <v>119</v>
      </c>
      <c r="C31" s="65" t="s">
        <v>120</v>
      </c>
      <c r="D31" s="66" t="s">
        <v>40</v>
      </c>
      <c r="E31" s="67" t="s">
        <v>68</v>
      </c>
      <c r="F31" s="68">
        <f>IF(E31="No aumenta",0,IF(E31="Pequeña",0,IF(E31="Moderada",0.1,IF(E31="Grande",0.4,IF(E31="Esencial",0.9,"-")))))</f>
        <v>0</v>
      </c>
      <c r="G31" s="68">
        <f>IF(E31="No aumenta",0,IF(E31="Pequeña",0.1,IF(E31="Moderada",0.4,IF(E31="Grande",0.9,IF(E31="Esencial",1,"-")))))</f>
        <v>0</v>
      </c>
      <c r="H31" s="68">
        <f>IF(F31="-","-",AVERAGE(F31:G31))</f>
        <v>0</v>
      </c>
      <c r="I31" s="69">
        <v>601</v>
      </c>
      <c r="J31" s="70">
        <f>84564+108769</f>
        <v>193333</v>
      </c>
      <c r="K31" s="71">
        <f>IF(J31="-",0,I31*J31)</f>
        <v>116193133</v>
      </c>
      <c r="L31" s="72">
        <f>IF(H31="-","-",K31*H31)</f>
        <v>0</v>
      </c>
      <c r="M31" s="73">
        <f>IF($H31="-","-",(($K31/(-0.8+1)*((1/(1-$H31))^(-0.8+1)-1))))</f>
        <v>0</v>
      </c>
      <c r="N31" s="73">
        <f>IF($H31="-","-",(($K31/(-1.2+1)*((1/(1-$H31))^(-1.2+1)-1))))</f>
        <v>0</v>
      </c>
      <c r="O31" s="57"/>
    </row>
    <row r="32" spans="1:15" ht="29.25">
      <c r="A32" s="47" t="s">
        <v>121</v>
      </c>
      <c r="B32" s="47" t="s">
        <v>122</v>
      </c>
      <c r="C32" s="48" t="s">
        <v>123</v>
      </c>
      <c r="D32" s="49" t="s">
        <v>34</v>
      </c>
      <c r="E32" s="50" t="s">
        <v>68</v>
      </c>
      <c r="F32" s="51">
        <f>IF(E32="No aumenta",0,IF(E32="Pequeña",0,IF(E32="Moderada",0.1,IF(E32="Grande",0.4,IF(E32="Esencial",0.9,"-")))))</f>
        <v>0</v>
      </c>
      <c r="G32" s="51">
        <f>IF(E32="No aumenta",0,IF(E32="Pequeña",0.1,IF(E32="Moderada",0.4,IF(E32="Grande",0.9,IF(E32="Esencial",1,"-")))))</f>
        <v>0</v>
      </c>
      <c r="H32" s="51">
        <f>IF(F32="-","-",AVERAGE(F32:G32))</f>
        <v>0</v>
      </c>
      <c r="I32" s="157">
        <v>1668.3</v>
      </c>
      <c r="J32" s="158">
        <v>10</v>
      </c>
      <c r="K32" s="54">
        <f>IF(J32="-",0,I32*J32)</f>
        <v>16683</v>
      </c>
      <c r="L32" s="55">
        <f>IF(H32="-","-",K32*H32)</f>
        <v>0</v>
      </c>
      <c r="M32" s="56">
        <f>IF($H32="-","-",(($K32/(-0.8+1)*((1/(1-$H32))^(-0.8+1)-1))))</f>
        <v>0</v>
      </c>
      <c r="N32" s="56">
        <f>IF($H32="-","-",(($K32/(-1.2+1)*((1/(1-$H32))^(-1.2+1)-1))))</f>
        <v>0</v>
      </c>
      <c r="O32" s="57"/>
    </row>
    <row r="33" spans="1:15" ht="29.25">
      <c r="A33" s="64" t="s">
        <v>131</v>
      </c>
      <c r="B33" s="64" t="s">
        <v>132</v>
      </c>
      <c r="C33" s="65" t="s">
        <v>133</v>
      </c>
      <c r="D33" s="66" t="s">
        <v>40</v>
      </c>
      <c r="E33" s="67" t="s">
        <v>72</v>
      </c>
      <c r="F33" s="68">
        <v>0</v>
      </c>
      <c r="G33" s="68">
        <v>0.1</v>
      </c>
      <c r="H33" s="68">
        <v>0.05</v>
      </c>
      <c r="I33" s="69">
        <v>164.4</v>
      </c>
      <c r="J33" s="70">
        <v>382617</v>
      </c>
      <c r="K33" s="71">
        <f>IF(J33="-",0,I33*J33)</f>
        <v>62902234.800000004</v>
      </c>
      <c r="L33" s="72">
        <f>IF(H33="-","-",K33*H33)</f>
        <v>3145111.74</v>
      </c>
      <c r="M33" s="73">
        <f>IF($H33="-","-",(($K33/(-0.8+1)*((1/(1-$H33))^(-0.8+1)-1))))</f>
        <v>3243069.17573732</v>
      </c>
      <c r="N33" s="73">
        <f>IF($H33="-","-",(($K33/(-1.2+1)*((1/(1-$H33))^(-1.2+1)-1))))</f>
        <v>3209969.703725546</v>
      </c>
      <c r="O33" s="57"/>
    </row>
    <row r="34" spans="1:15" ht="42.75">
      <c r="A34" s="85" t="s">
        <v>137</v>
      </c>
      <c r="B34" s="85" t="s">
        <v>138</v>
      </c>
      <c r="C34" s="86" t="s">
        <v>139</v>
      </c>
      <c r="D34" s="87" t="s">
        <v>48</v>
      </c>
      <c r="E34" s="88" t="s">
        <v>49</v>
      </c>
      <c r="F34" s="89" t="str">
        <f>IF(E34="No aumenta",0,IF(E34="Pequeña",0,IF(E34="Moderada",0.1,IF(E34="Grande",0.4,IF(E34="Esencial",0.9,"-")))))</f>
        <v>-</v>
      </c>
      <c r="G34" s="89" t="str">
        <f>IF(E34="No aumenta",0,IF(E34="Pequeña",0.1,IF(E34="Moderada",0.4,IF(E34="Grande",0.9,IF(E34="Esencial",1,"-")))))</f>
        <v>-</v>
      </c>
      <c r="H34" s="89" t="str">
        <f>IF(F34="-","-",AVERAGE(F34:G34))</f>
        <v>-</v>
      </c>
      <c r="I34" s="90">
        <v>300</v>
      </c>
      <c r="J34" s="91">
        <v>333102</v>
      </c>
      <c r="K34" s="92">
        <f>IF(J34="-",0,I34*J34)</f>
        <v>99930600</v>
      </c>
      <c r="L34" s="93" t="str">
        <f>IF(H34="-","-",K34*H34)</f>
        <v>-</v>
      </c>
      <c r="M34" s="94" t="str">
        <f>IF($H34="-","-",(($K34/(-0.8+1)*((1/(1-$H34))^(-0.8+1)-1))))</f>
        <v>-</v>
      </c>
      <c r="N34" s="94" t="str">
        <f>IF($H34="-","-",(($K34/(-1.2+1)*((1/(1-$H34))^(-1.2+1)-1))))</f>
        <v>-</v>
      </c>
      <c r="O34" s="57"/>
    </row>
    <row r="35" spans="1:15" ht="16.5">
      <c r="A35" s="119" t="s">
        <v>143</v>
      </c>
      <c r="B35" s="119" t="s">
        <v>144</v>
      </c>
      <c r="C35" s="120" t="s">
        <v>145</v>
      </c>
      <c r="D35" s="121" t="s">
        <v>36</v>
      </c>
      <c r="E35" s="122" t="s">
        <v>68</v>
      </c>
      <c r="F35" s="123">
        <v>0</v>
      </c>
      <c r="G35" s="123">
        <v>0</v>
      </c>
      <c r="H35" s="123">
        <v>0</v>
      </c>
      <c r="I35" s="124">
        <v>216.9</v>
      </c>
      <c r="J35" s="125">
        <v>1197</v>
      </c>
      <c r="K35" s="126">
        <f>IF(J35="-",0,I35*J35)</f>
        <v>259629.30000000002</v>
      </c>
      <c r="L35" s="127">
        <f>IF(H35="-","-",K35*H35)</f>
        <v>0</v>
      </c>
      <c r="M35" s="128">
        <f>IF($H35="-","-",(($K35/(-0.8+1)*((1/(1-$H35))^(-0.8+1)-1))))</f>
        <v>0</v>
      </c>
      <c r="N35" s="128">
        <f>IF($H35="-","-",(($K35/(-1.2+1)*((1/(1-$H35))^(-1.2+1)-1))))</f>
        <v>0</v>
      </c>
      <c r="O35" s="57"/>
    </row>
    <row r="36" spans="1:15" ht="16.5">
      <c r="A36" s="119" t="s">
        <v>149</v>
      </c>
      <c r="B36" s="119" t="s">
        <v>150</v>
      </c>
      <c r="C36" s="120" t="s">
        <v>151</v>
      </c>
      <c r="D36" s="121" t="s">
        <v>36</v>
      </c>
      <c r="E36" s="122" t="s">
        <v>68</v>
      </c>
      <c r="F36" s="123">
        <v>0</v>
      </c>
      <c r="G36" s="123">
        <v>0</v>
      </c>
      <c r="H36" s="123">
        <v>0</v>
      </c>
      <c r="I36" s="124">
        <v>181.5</v>
      </c>
      <c r="J36" s="125">
        <v>13814</v>
      </c>
      <c r="K36" s="126">
        <f>IF(J36="-",0,I36*J36)</f>
        <v>2507241</v>
      </c>
      <c r="L36" s="127">
        <f>IF(H36="-","-",K36*H36)</f>
        <v>0</v>
      </c>
      <c r="M36" s="128">
        <f>IF($H36="-","-",(($K36/(-0.8+1)*((1/(1-$H36))^(-0.8+1)-1))))</f>
        <v>0</v>
      </c>
      <c r="N36" s="128">
        <f>IF($H36="-","-",(($K36/(-1.2+1)*((1/(1-$H36))^(-1.2+1)-1))))</f>
        <v>0</v>
      </c>
      <c r="O36" s="57"/>
    </row>
    <row r="37" spans="1:15" ht="16.5">
      <c r="A37" s="174" t="s">
        <v>152</v>
      </c>
      <c r="B37" s="174" t="s">
        <v>153</v>
      </c>
      <c r="C37" s="175" t="s">
        <v>154</v>
      </c>
      <c r="D37" s="79" t="s">
        <v>44</v>
      </c>
      <c r="E37" s="176" t="s">
        <v>68</v>
      </c>
      <c r="F37" s="177">
        <f>IF(E37="No aumenta",0,IF(E37="Pequeña",0,IF(E37="Moderada",0.1,IF(E37="Grande",0.4,IF(E37="Esencial",0.9,"-")))))</f>
        <v>0</v>
      </c>
      <c r="G37" s="177">
        <f>IF(E37="No aumenta",0,IF(E37="Pequeña",0.1,IF(E37="Moderada",0.4,IF(E37="Grande",0.9,IF(E37="Esencial",1,"-")))))</f>
        <v>0</v>
      </c>
      <c r="H37" s="177">
        <f>IF(F37="-","-",AVERAGE(F37:G37))</f>
        <v>0</v>
      </c>
      <c r="I37" s="178">
        <v>396.6</v>
      </c>
      <c r="J37" s="179">
        <f>2489+39016</f>
        <v>41505</v>
      </c>
      <c r="K37" s="180">
        <f>IF(J37="-",0,I37*J37)</f>
        <v>16460883.000000002</v>
      </c>
      <c r="L37" s="181">
        <f>IF(H37="-","-",K37*H37)</f>
        <v>0</v>
      </c>
      <c r="M37" s="182">
        <f>IF($H37="-","-",(($K37/(-0.8+1)*((1/(1-$H37))^(-0.8+1)-1))))</f>
        <v>0</v>
      </c>
      <c r="N37" s="182">
        <f>IF($H37="-","-",(($K37/(-1.2+1)*((1/(1-$H37))^(-1.2+1)-1))))</f>
        <v>0</v>
      </c>
      <c r="O37" s="57"/>
    </row>
    <row r="38" spans="1:15" ht="42.75">
      <c r="A38" s="85" t="s">
        <v>155</v>
      </c>
      <c r="B38" s="85" t="s">
        <v>156</v>
      </c>
      <c r="C38" s="86" t="s">
        <v>157</v>
      </c>
      <c r="D38" s="87" t="s">
        <v>48</v>
      </c>
      <c r="E38" s="88" t="s">
        <v>49</v>
      </c>
      <c r="F38" s="89" t="s">
        <v>63</v>
      </c>
      <c r="G38" s="89" t="s">
        <v>63</v>
      </c>
      <c r="H38" s="89" t="s">
        <v>63</v>
      </c>
      <c r="I38" s="90">
        <v>677.7</v>
      </c>
      <c r="J38" s="91">
        <v>126</v>
      </c>
      <c r="K38" s="92">
        <f>IF(J38="-",0,I38*J38)</f>
        <v>85390.20000000001</v>
      </c>
      <c r="L38" s="93" t="str">
        <f>IF(H38="-","-",K38*H38)</f>
        <v>-</v>
      </c>
      <c r="M38" s="94" t="str">
        <f>IF($H38="-","-",(($K38/(-0.8+1)*((1/(1-$H38))^(-0.8+1)-1))))</f>
        <v>-</v>
      </c>
      <c r="N38" s="94" t="str">
        <f>IF($H38="-","-",(($K38/(-1.2+1)*((1/(1-$H38))^(-1.2+1)-1))))</f>
        <v>-</v>
      </c>
      <c r="O38" s="57"/>
    </row>
    <row r="39" spans="1:15" ht="42.75">
      <c r="A39" s="85" t="s">
        <v>158</v>
      </c>
      <c r="B39" s="85" t="s">
        <v>159</v>
      </c>
      <c r="C39" s="86" t="s">
        <v>157</v>
      </c>
      <c r="D39" s="87" t="s">
        <v>48</v>
      </c>
      <c r="E39" s="88" t="s">
        <v>49</v>
      </c>
      <c r="F39" s="89" t="s">
        <v>63</v>
      </c>
      <c r="G39" s="89" t="s">
        <v>63</v>
      </c>
      <c r="H39" s="89" t="s">
        <v>63</v>
      </c>
      <c r="I39" s="90">
        <v>174.9</v>
      </c>
      <c r="J39" s="91">
        <v>28213</v>
      </c>
      <c r="K39" s="92">
        <f>IF(J39="-",0,I39*J39)</f>
        <v>4934453.7</v>
      </c>
      <c r="L39" s="93" t="str">
        <f>IF(H39="-","-",K39*H39)</f>
        <v>-</v>
      </c>
      <c r="M39" s="94" t="str">
        <f>IF($H39="-","-",(($K39/(-0.8+1)*((1/(1-$H39))^(-0.8+1)-1))))</f>
        <v>-</v>
      </c>
      <c r="N39" s="94" t="str">
        <f>IF($H39="-","-",(($K39/(-1.2+1)*((1/(1-$H39))^(-1.2+1)-1))))</f>
        <v>-</v>
      </c>
      <c r="O39" s="57"/>
    </row>
    <row r="40" spans="1:15" ht="16.5">
      <c r="A40" s="64" t="s">
        <v>160</v>
      </c>
      <c r="B40" s="64" t="s">
        <v>161</v>
      </c>
      <c r="C40" s="65" t="s">
        <v>162</v>
      </c>
      <c r="D40" s="66" t="s">
        <v>40</v>
      </c>
      <c r="E40" s="67" t="s">
        <v>72</v>
      </c>
      <c r="F40" s="68">
        <v>0</v>
      </c>
      <c r="G40" s="68">
        <v>0.1</v>
      </c>
      <c r="H40" s="68">
        <v>0.05</v>
      </c>
      <c r="I40" s="69">
        <v>198.6</v>
      </c>
      <c r="J40" s="70">
        <v>148798</v>
      </c>
      <c r="K40" s="71">
        <f>IF(J40="-",0,I40*J40)</f>
        <v>29551282.8</v>
      </c>
      <c r="L40" s="72">
        <f>IF(H40="-","-",K40*H40)</f>
        <v>1477564.1400000001</v>
      </c>
      <c r="M40" s="73">
        <f>IF($H40="-","-",(($K40/(-0.8+1)*((1/(1-$H40))^(-0.8+1)-1))))</f>
        <v>1523584.2519251227</v>
      </c>
      <c r="N40" s="73">
        <f>IF($H40="-","-",(($K40/(-1.2+1)*((1/(1-$H40))^(-1.2+1)-1))))</f>
        <v>1508034.2184317084</v>
      </c>
      <c r="O40" s="57"/>
    </row>
    <row r="41" spans="1:15" ht="56.25">
      <c r="A41" s="85" t="s">
        <v>163</v>
      </c>
      <c r="B41" s="85" t="s">
        <v>164</v>
      </c>
      <c r="C41" s="86" t="s">
        <v>165</v>
      </c>
      <c r="D41" s="87" t="s">
        <v>48</v>
      </c>
      <c r="E41" s="88" t="s">
        <v>130</v>
      </c>
      <c r="F41" s="89">
        <f>IF(E41="No aumenta",0,IF(E41="Pequeña",0,IF(E41="Moderada",0.1,IF(E41="Grande",0.4,IF(E41="Esencial",0.9,"-")))))</f>
        <v>0.9</v>
      </c>
      <c r="G41" s="89">
        <f>IF(E41="No aumenta",0,IF(E41="Pequeña",0.1,IF(E41="Moderada",0.4,IF(E41="Grande",0.9,IF(E41="Esencial",1,"-")))))</f>
        <v>1</v>
      </c>
      <c r="H41" s="89">
        <f>IF(F41="-","-",AVERAGE(F41:G41))</f>
        <v>0.95</v>
      </c>
      <c r="I41" s="90">
        <v>259.9</v>
      </c>
      <c r="J41" s="91">
        <v>219774</v>
      </c>
      <c r="K41" s="92">
        <f>IF(J41="-",0,I41*J41)</f>
        <v>57119262.599999994</v>
      </c>
      <c r="L41" s="93">
        <f>IF(H41="-","-",K41*H41)</f>
        <v>54263299.46999999</v>
      </c>
      <c r="M41" s="94">
        <f>IF($H41="-","-",(($K41/(-0.8+1)*((1/(1-$H41))^(-0.8+1)-1))))</f>
        <v>234350110.96403188</v>
      </c>
      <c r="N41" s="94">
        <f>IF($H41="-","-",(($K41/(-1.2+1)*((1/(1-$H41))^(-1.2+1)-1))))</f>
        <v>128723892.61224794</v>
      </c>
      <c r="O41" s="57"/>
    </row>
    <row r="42" spans="1:15" ht="42.75">
      <c r="A42" s="64" t="s">
        <v>166</v>
      </c>
      <c r="B42" s="64" t="s">
        <v>167</v>
      </c>
      <c r="C42" s="65" t="s">
        <v>168</v>
      </c>
      <c r="D42" s="66" t="s">
        <v>40</v>
      </c>
      <c r="E42" s="67" t="s">
        <v>35</v>
      </c>
      <c r="F42" s="68">
        <v>0.4</v>
      </c>
      <c r="G42" s="68">
        <v>0.9</v>
      </c>
      <c r="H42" s="68">
        <v>0.65</v>
      </c>
      <c r="I42" s="69">
        <v>532.1</v>
      </c>
      <c r="J42" s="70">
        <f>172997+68845</f>
        <v>241842</v>
      </c>
      <c r="K42" s="71">
        <f>IF(J42="-",0,I42*J42)</f>
        <v>128684128.2</v>
      </c>
      <c r="L42" s="72">
        <f>IF(H42="-","-",K42*H42)</f>
        <v>83644683.33</v>
      </c>
      <c r="M42" s="73">
        <f>IF($H42="-","-",(($K42/(-0.8+1)*((1/(1-$H42))^(-0.8+1)-1))))</f>
        <v>150325049.0402131</v>
      </c>
      <c r="N42" s="73">
        <f>IF($H42="-","-",(($K42/(-1.2+1)*((1/(1-$H42))^(-1.2+1)-1))))</f>
        <v>121855451.46948786</v>
      </c>
      <c r="O42" s="57"/>
    </row>
    <row r="43" spans="1:15" ht="16.5">
      <c r="A43" s="64" t="s">
        <v>169</v>
      </c>
      <c r="B43" s="64" t="s">
        <v>170</v>
      </c>
      <c r="C43" s="65" t="s">
        <v>171</v>
      </c>
      <c r="D43" s="66" t="s">
        <v>40</v>
      </c>
      <c r="E43" s="67" t="s">
        <v>35</v>
      </c>
      <c r="F43" s="68">
        <v>0.4</v>
      </c>
      <c r="G43" s="68">
        <v>0.9</v>
      </c>
      <c r="H43" s="68">
        <v>0.65</v>
      </c>
      <c r="I43" s="69">
        <v>427.4</v>
      </c>
      <c r="J43" s="70">
        <v>30319</v>
      </c>
      <c r="K43" s="71">
        <f>IF(J43="-",0,I43*J43)</f>
        <v>12958340.6</v>
      </c>
      <c r="L43" s="72">
        <f>IF(H43="-","-",K43*H43)</f>
        <v>8422921.39</v>
      </c>
      <c r="M43" s="73">
        <f>IF($H43="-","-",(($K43/(-0.8+1)*((1/(1-$H43))^(-0.8+1)-1))))</f>
        <v>15137555.91635414</v>
      </c>
      <c r="N43" s="73">
        <f>IF($H43="-","-",(($K43/(-1.2+1)*((1/(1-$H43))^(-1.2+1)-1))))</f>
        <v>12270700.871938568</v>
      </c>
      <c r="O43" s="57"/>
    </row>
    <row r="44" spans="1:15" ht="29.25">
      <c r="A44" s="134" t="s">
        <v>172</v>
      </c>
      <c r="B44" s="134" t="s">
        <v>173</v>
      </c>
      <c r="C44" s="135" t="s">
        <v>174</v>
      </c>
      <c r="D44" s="95" t="s">
        <v>50</v>
      </c>
      <c r="E44" s="136" t="s">
        <v>68</v>
      </c>
      <c r="F44" s="137">
        <f>IF(E44="No aumenta",0,IF(E44="Pequeña",0,IF(E44="Moderada",0.1,IF(E44="Grande",0.4,IF(E44="Esencial",0.9,"-")))))</f>
        <v>0</v>
      </c>
      <c r="G44" s="137">
        <f>IF(E44="No aumenta",0,IF(E44="Pequeña",0.1,IF(E44="Moderada",0.4,IF(E44="Grande",0.9,IF(E44="Esencial",1,"-")))))</f>
        <v>0</v>
      </c>
      <c r="H44" s="137">
        <f>IF(F44="-","-",AVERAGE(F44:G44))</f>
        <v>0</v>
      </c>
      <c r="I44" s="138">
        <v>223.6</v>
      </c>
      <c r="J44" s="139">
        <v>728</v>
      </c>
      <c r="K44" s="140">
        <f>IF(J44="-",0,I44*J44)</f>
        <v>162780.8</v>
      </c>
      <c r="L44" s="141">
        <f>IF(H44="-","-",K44*H44)</f>
        <v>0</v>
      </c>
      <c r="M44" s="142">
        <f>IF($H44="-","-",(($K44/(-0.8+1)*((1/(1-$H44))^(-0.8+1)-1))))</f>
        <v>0</v>
      </c>
      <c r="N44" s="142">
        <f>IF($H44="-","-",(($K44/(-1.2+1)*((1/(1-$H44))^(-1.2+1)-1))))</f>
        <v>0</v>
      </c>
      <c r="O44" s="57"/>
    </row>
    <row r="45" spans="1:15" ht="29.25">
      <c r="A45" s="85" t="s">
        <v>175</v>
      </c>
      <c r="B45" s="85" t="s">
        <v>176</v>
      </c>
      <c r="C45" s="86" t="s">
        <v>174</v>
      </c>
      <c r="D45" s="87" t="s">
        <v>48</v>
      </c>
      <c r="E45" s="88" t="s">
        <v>68</v>
      </c>
      <c r="F45" s="89">
        <f>IF(E45="No aumenta",0,IF(E45="Pequeña",0,IF(E45="Moderada",0.1,IF(E45="Grande",0.4,IF(E45="Esencial",0.9,"-")))))</f>
        <v>0</v>
      </c>
      <c r="G45" s="89">
        <f>IF(E45="No aumenta",0,IF(E45="Pequeña",0.1,IF(E45="Moderada",0.4,IF(E45="Grande",0.9,IF(E45="Esencial",1,"-")))))</f>
        <v>0</v>
      </c>
      <c r="H45" s="89">
        <f>IF(F45="-","-",AVERAGE(F45:G45))</f>
        <v>0</v>
      </c>
      <c r="I45" s="90">
        <v>1847.6</v>
      </c>
      <c r="J45" s="91">
        <v>835</v>
      </c>
      <c r="K45" s="92">
        <f>IF(J45="-",0,I45*J45)</f>
        <v>1542746</v>
      </c>
      <c r="L45" s="93">
        <f>IF(H45="-","-",K45*H45)</f>
        <v>0</v>
      </c>
      <c r="M45" s="94">
        <f>IF($H45="-","-",(($K45/(-0.8+1)*((1/(1-$H45))^(-0.8+1)-1))))</f>
        <v>0</v>
      </c>
      <c r="N45" s="94">
        <f>IF($H45="-","-",(($K45/(-1.2+1)*((1/(1-$H45))^(-1.2+1)-1))))</f>
        <v>0</v>
      </c>
      <c r="O45" s="57"/>
    </row>
    <row r="46" spans="1:15" ht="29.25">
      <c r="A46" s="64" t="s">
        <v>177</v>
      </c>
      <c r="B46" s="64" t="s">
        <v>178</v>
      </c>
      <c r="C46" s="65" t="s">
        <v>179</v>
      </c>
      <c r="D46" s="66" t="s">
        <v>40</v>
      </c>
      <c r="E46" s="67" t="s">
        <v>35</v>
      </c>
      <c r="F46" s="68">
        <v>0.4</v>
      </c>
      <c r="G46" s="68">
        <v>0.9</v>
      </c>
      <c r="H46" s="68">
        <v>0.65</v>
      </c>
      <c r="I46" s="69">
        <v>471.3</v>
      </c>
      <c r="J46" s="70">
        <v>25475</v>
      </c>
      <c r="K46" s="71">
        <f>IF(J46="-",0,I46*J46)</f>
        <v>12006367.5</v>
      </c>
      <c r="L46" s="72">
        <f>IF(H46="-","-",K46*H46)</f>
        <v>7804138.875</v>
      </c>
      <c r="M46" s="73">
        <f>IF($H46="-","-",(($K46/(-0.8+1)*((1/(1-$H46))^(-0.8+1)-1))))</f>
        <v>14025488.678970752</v>
      </c>
      <c r="N46" s="73">
        <f>IF($H46="-","-",(($K46/(-1.2+1)*((1/(1-$H46))^(-1.2+1)-1))))</f>
        <v>11369244.620029889</v>
      </c>
      <c r="O46" s="57"/>
    </row>
    <row r="47" spans="1:15" ht="42.75">
      <c r="A47" s="183" t="s">
        <v>180</v>
      </c>
      <c r="B47" s="183" t="s">
        <v>181</v>
      </c>
      <c r="C47" s="184" t="s">
        <v>182</v>
      </c>
      <c r="D47" s="101" t="s">
        <v>54</v>
      </c>
      <c r="E47" s="185" t="s">
        <v>62</v>
      </c>
      <c r="F47" s="186" t="s">
        <v>63</v>
      </c>
      <c r="G47" s="186" t="s">
        <v>63</v>
      </c>
      <c r="H47" s="186" t="s">
        <v>63</v>
      </c>
      <c r="I47" s="187">
        <v>212.7</v>
      </c>
      <c r="J47" s="188">
        <v>75184</v>
      </c>
      <c r="K47" s="189">
        <f>IF(J47="-",0,I47*J47)</f>
        <v>15991636.799999999</v>
      </c>
      <c r="L47" s="190" t="str">
        <f>IF(H47="-","-",K47*H47)</f>
        <v>-</v>
      </c>
      <c r="M47" s="191" t="str">
        <f>IF($H47="-","-",(($K47/(-0.8+1)*((1/(1-$H47))^(-0.8+1)-1))))</f>
        <v>-</v>
      </c>
      <c r="N47" s="191" t="str">
        <f>IF($H47="-","-",(($K47/(-1.2+1)*((1/(1-$H47))^(-1.2+1)-1))))</f>
        <v>-</v>
      </c>
      <c r="O47" s="57"/>
    </row>
    <row r="48" spans="1:15" ht="42.75">
      <c r="A48" s="85" t="s">
        <v>251</v>
      </c>
      <c r="B48" s="85" t="s">
        <v>184</v>
      </c>
      <c r="C48" s="86" t="s">
        <v>185</v>
      </c>
      <c r="D48" s="87" t="s">
        <v>48</v>
      </c>
      <c r="E48" s="88" t="s">
        <v>130</v>
      </c>
      <c r="F48" s="89">
        <f>IF(E48="No aumenta",0,IF(E48="Pequeña",0,IF(E48="Moderada",0.1,IF(E48="Grande",0.4,IF(E48="Esencial",0.9,"-")))))</f>
        <v>0.9</v>
      </c>
      <c r="G48" s="89">
        <f>IF(E48="No aumenta",0,IF(E48="Pequeña",0.1,IF(E48="Moderada",0.4,IF(E48="Grande",0.9,IF(E48="Esencial",1,"-")))))</f>
        <v>1</v>
      </c>
      <c r="H48" s="89">
        <f>IF(F48="-","-",AVERAGE(F48:G48))</f>
        <v>0.95</v>
      </c>
      <c r="I48" s="90">
        <v>333.5</v>
      </c>
      <c r="J48" s="91">
        <f>253+8771</f>
        <v>9024</v>
      </c>
      <c r="K48" s="92">
        <f>IF(J48="-",0,I48*J48)</f>
        <v>3009504</v>
      </c>
      <c r="L48" s="93">
        <f>IF(H48="-","-",K48*H48)</f>
        <v>2859028.8</v>
      </c>
      <c r="M48" s="94">
        <f>IF($H48="-","-",(($K48/(-0.8+1)*((1/(1-$H48))^(-0.8+1)-1))))</f>
        <v>12347456.256319</v>
      </c>
      <c r="N48" s="94">
        <f>IF($H48="-","-",(($K48/(-1.2+1)*((1/(1-$H48))^(-1.2+1)-1))))</f>
        <v>6782214.126695163</v>
      </c>
      <c r="O48" s="57"/>
    </row>
    <row r="49" spans="1:15" ht="16.5">
      <c r="A49" s="64" t="s">
        <v>186</v>
      </c>
      <c r="B49" s="64" t="s">
        <v>187</v>
      </c>
      <c r="C49" s="192" t="s">
        <v>188</v>
      </c>
      <c r="D49" s="66" t="s">
        <v>40</v>
      </c>
      <c r="E49" s="67" t="s">
        <v>35</v>
      </c>
      <c r="F49" s="68">
        <v>0.4</v>
      </c>
      <c r="G49" s="68">
        <v>0.9</v>
      </c>
      <c r="H49" s="68">
        <v>0.65</v>
      </c>
      <c r="I49" s="69">
        <v>316.1</v>
      </c>
      <c r="J49" s="70">
        <v>46</v>
      </c>
      <c r="K49" s="71">
        <f>IF(J49="-",0,I49*J49)</f>
        <v>14540.6</v>
      </c>
      <c r="L49" s="72">
        <f>IF(H49="-","-",K49*H49)</f>
        <v>9451.390000000001</v>
      </c>
      <c r="M49" s="73">
        <f>IF($H49="-","-",(($K49/(-0.8+1)*((1/(1-$H49))^(-0.8+1)-1))))</f>
        <v>16985.905244483158</v>
      </c>
      <c r="N49" s="73">
        <f>IF($H49="-","-",(($K49/(-1.2+1)*((1/(1-$H49))^(-1.2+1)-1))))</f>
        <v>13768.9970194571</v>
      </c>
      <c r="O49" s="57"/>
    </row>
    <row r="50" spans="1:15" ht="16.5">
      <c r="A50" s="119" t="s">
        <v>195</v>
      </c>
      <c r="B50" s="119" t="s">
        <v>196</v>
      </c>
      <c r="C50" s="120" t="s">
        <v>197</v>
      </c>
      <c r="D50" s="121" t="s">
        <v>36</v>
      </c>
      <c r="E50" s="194" t="s">
        <v>68</v>
      </c>
      <c r="F50" s="123">
        <v>0</v>
      </c>
      <c r="G50" s="123">
        <v>0</v>
      </c>
      <c r="H50" s="123">
        <v>0</v>
      </c>
      <c r="I50" s="124">
        <v>276.1</v>
      </c>
      <c r="J50" s="125">
        <v>1841</v>
      </c>
      <c r="K50" s="126">
        <f>IF(J50="-",0,I50*J50)</f>
        <v>508300.10000000003</v>
      </c>
      <c r="L50" s="127">
        <f>IF(H50="-","-",K50*H50)</f>
        <v>0</v>
      </c>
      <c r="M50" s="128">
        <f>IF($H50="-","-",(($K50/(-0.8+1)*((1/(1-$H50))^(-0.8+1)-1))))</f>
        <v>0</v>
      </c>
      <c r="N50" s="128">
        <f>IF($H50="-","-",(($K50/(-1.2+1)*((1/(1-$H50))^(-1.2+1)-1))))</f>
        <v>0</v>
      </c>
      <c r="O50" s="57"/>
    </row>
    <row r="51" spans="1:15" ht="16.5">
      <c r="A51" s="119" t="s">
        <v>198</v>
      </c>
      <c r="B51" s="119" t="s">
        <v>199</v>
      </c>
      <c r="C51" s="120" t="s">
        <v>200</v>
      </c>
      <c r="D51" s="121" t="s">
        <v>36</v>
      </c>
      <c r="E51" s="122" t="s">
        <v>68</v>
      </c>
      <c r="F51" s="123">
        <f>IF(E51="No aumenta",0,IF(E51="Pequeña",0,IF(E51="Moderada",0.1,IF(E51="Grande",0.4,IF(E51="Esencial",0.9,"-")))))</f>
        <v>0</v>
      </c>
      <c r="G51" s="123">
        <f>IF(E51="No aumenta",0,IF(E51="Pequeña",0.1,IF(E51="Moderada",0.4,IF(E51="Grande",0.9,IF(E51="Esencial",1,"-")))))</f>
        <v>0</v>
      </c>
      <c r="H51" s="123">
        <f>IF(F51="-","-",AVERAGE(F51:G51))</f>
        <v>0</v>
      </c>
      <c r="I51" s="124">
        <v>183.6</v>
      </c>
      <c r="J51" s="125">
        <v>294</v>
      </c>
      <c r="K51" s="126">
        <f>IF(J51="-",0,I51*J51)</f>
        <v>53978.4</v>
      </c>
      <c r="L51" s="127">
        <f>IF(H51="-","-",K51*H51)</f>
        <v>0</v>
      </c>
      <c r="M51" s="128">
        <f>IF($H51="-","-",(($K51/(-0.8+1)*((1/(1-$H51))^(-0.8+1)-1))))</f>
        <v>0</v>
      </c>
      <c r="N51" s="128">
        <f>IF($H51="-","-",(($K51/(-1.2+1)*((1/(1-$H51))^(-1.2+1)-1))))</f>
        <v>0</v>
      </c>
      <c r="O51" s="57"/>
    </row>
    <row r="52" spans="1:15" ht="29.25">
      <c r="A52" s="174" t="s">
        <v>204</v>
      </c>
      <c r="B52" s="174" t="s">
        <v>205</v>
      </c>
      <c r="C52" s="175" t="s">
        <v>206</v>
      </c>
      <c r="D52" s="79" t="s">
        <v>44</v>
      </c>
      <c r="E52" s="176" t="s">
        <v>79</v>
      </c>
      <c r="F52" s="177">
        <v>0.1</v>
      </c>
      <c r="G52" s="177">
        <v>0.4</v>
      </c>
      <c r="H52" s="177">
        <v>0.25</v>
      </c>
      <c r="I52" s="178">
        <v>541.8</v>
      </c>
      <c r="J52" s="179">
        <v>300</v>
      </c>
      <c r="K52" s="180">
        <f>IF(J52="-",0,I52*J52)</f>
        <v>162540</v>
      </c>
      <c r="L52" s="181">
        <f>IF(H52="-","-",K52*H52)</f>
        <v>40635</v>
      </c>
      <c r="M52" s="182">
        <f>IF($H52="-","-",(($K52/(-0.8+1)*((1/(1-$H52))^(-0.8+1)-1))))</f>
        <v>48131.21562036967</v>
      </c>
      <c r="N52" s="182">
        <f>IF($H52="-","-",(($K52/(-1.2+1)*((1/(1-$H52))^(-1.2+1)-1))))</f>
        <v>45440.07957063317</v>
      </c>
      <c r="O52" s="57"/>
    </row>
    <row r="53" spans="1:15" ht="16.5">
      <c r="A53" s="119" t="s">
        <v>207</v>
      </c>
      <c r="B53" s="119" t="s">
        <v>208</v>
      </c>
      <c r="C53" s="120" t="s">
        <v>209</v>
      </c>
      <c r="D53" s="121" t="s">
        <v>36</v>
      </c>
      <c r="E53" s="122" t="s">
        <v>68</v>
      </c>
      <c r="F53" s="123">
        <v>0</v>
      </c>
      <c r="G53" s="123">
        <v>0</v>
      </c>
      <c r="H53" s="123">
        <v>0</v>
      </c>
      <c r="I53" s="124">
        <v>200</v>
      </c>
      <c r="J53" s="125">
        <v>180</v>
      </c>
      <c r="K53" s="126">
        <f>IF(J53="-",0,I53*J53)</f>
        <v>36000</v>
      </c>
      <c r="L53" s="127">
        <f>IF(H53="-","-",K53*H53)</f>
        <v>0</v>
      </c>
      <c r="M53" s="128">
        <f>IF($H53="-","-",(($K53/(-0.8+1)*((1/(1-$H53))^(-0.8+1)-1))))</f>
        <v>0</v>
      </c>
      <c r="N53" s="128">
        <f>IF($H53="-","-",(($K53/(-1.2+1)*((1/(1-$H53))^(-1.2+1)-1))))</f>
        <v>0</v>
      </c>
      <c r="O53" s="57"/>
    </row>
    <row r="54" spans="1:15" ht="16.5">
      <c r="A54" s="85" t="s">
        <v>213</v>
      </c>
      <c r="B54" s="85" t="s">
        <v>214</v>
      </c>
      <c r="C54" s="86" t="s">
        <v>215</v>
      </c>
      <c r="D54" s="87" t="s">
        <v>48</v>
      </c>
      <c r="E54" s="88" t="s">
        <v>68</v>
      </c>
      <c r="F54" s="89">
        <v>0</v>
      </c>
      <c r="G54" s="89">
        <v>0</v>
      </c>
      <c r="H54" s="89">
        <v>0</v>
      </c>
      <c r="I54" s="90">
        <v>508.7</v>
      </c>
      <c r="J54" s="91">
        <v>1580</v>
      </c>
      <c r="K54" s="92">
        <f>IF(J54="-",0,I54*J54)</f>
        <v>803746</v>
      </c>
      <c r="L54" s="93">
        <f>IF(H54="-","-",K54*H54)</f>
        <v>0</v>
      </c>
      <c r="M54" s="94">
        <f>IF($H54="-","-",(($K54/(-0.8+1)*((1/(1-$H54))^(-0.8+1)-1))))</f>
        <v>0</v>
      </c>
      <c r="N54" s="94">
        <f>IF($H54="-","-",(($K54/(-1.2+1)*((1/(1-$H54))^(-1.2+1)-1))))</f>
        <v>0</v>
      </c>
      <c r="O54" s="57"/>
    </row>
    <row r="55" spans="1:15" ht="16.5">
      <c r="A55" s="64" t="s">
        <v>216</v>
      </c>
      <c r="B55" s="64" t="s">
        <v>217</v>
      </c>
      <c r="C55" s="65" t="s">
        <v>218</v>
      </c>
      <c r="D55" s="66" t="s">
        <v>40</v>
      </c>
      <c r="E55" s="67" t="s">
        <v>79</v>
      </c>
      <c r="F55" s="68">
        <f>IF(E55="No aumenta",0,IF(E55="Pequeña",0,IF(E55="Moderada",0.1,IF(E55="Grande",0.4,IF(E55="Esencial",0.9,"-")))))</f>
        <v>0.1</v>
      </c>
      <c r="G55" s="68">
        <f>IF(E55="No aumenta",0,IF(E55="Pequeña",0.1,IF(E55="Moderada",0.4,IF(E55="Grande",0.9,IF(E55="Esencial",1,"-")))))</f>
        <v>0.4</v>
      </c>
      <c r="H55" s="68">
        <f>IF(F55="-","-",AVERAGE(F55:G55))</f>
        <v>0.25</v>
      </c>
      <c r="I55" s="69">
        <v>1310.8</v>
      </c>
      <c r="J55" s="70">
        <v>35</v>
      </c>
      <c r="K55" s="71">
        <f>IF(J55="-",0,I55*J55)</f>
        <v>45878</v>
      </c>
      <c r="L55" s="72">
        <f>IF(H55="-","-",K55*H55)</f>
        <v>11469.5</v>
      </c>
      <c r="M55" s="73">
        <f>IF($H55="-","-",(($K55/(-0.8+1)*((1/(1-$H55))^(-0.8+1)-1))))</f>
        <v>13585.356898187028</v>
      </c>
      <c r="N55" s="73">
        <f>IF($H55="-","-",(($K55/(-1.2+1)*((1/(1-$H55))^(-1.2+1)-1))))</f>
        <v>12825.765784062438</v>
      </c>
      <c r="O55" s="57"/>
    </row>
    <row r="56" spans="1:15" ht="29.25">
      <c r="A56" s="174" t="s">
        <v>222</v>
      </c>
      <c r="B56" s="174" t="s">
        <v>223</v>
      </c>
      <c r="C56" s="175" t="s">
        <v>224</v>
      </c>
      <c r="D56" s="79" t="s">
        <v>44</v>
      </c>
      <c r="E56" s="176" t="s">
        <v>79</v>
      </c>
      <c r="F56" s="177">
        <v>0.1</v>
      </c>
      <c r="G56" s="177">
        <v>0.4</v>
      </c>
      <c r="H56" s="177">
        <v>0.25</v>
      </c>
      <c r="I56" s="178">
        <v>380.1</v>
      </c>
      <c r="J56" s="179">
        <v>103</v>
      </c>
      <c r="K56" s="180">
        <f>IF(J56="-",0,I56*J56)</f>
        <v>39150.3</v>
      </c>
      <c r="L56" s="181">
        <f>IF(H56="-","-",K56*H56)</f>
        <v>9787.575</v>
      </c>
      <c r="M56" s="182">
        <f>IF($H56="-","-",(($K56/(-0.8+1)*((1/(1-$H56))^(-0.8+1)-1))))</f>
        <v>11593.15572106656</v>
      </c>
      <c r="N56" s="182">
        <f>IF($H56="-","-",(($K56/(-1.2+1)*((1/(1-$H56))^(-1.2+1)-1))))</f>
        <v>10944.953532755999</v>
      </c>
      <c r="O56" s="57"/>
    </row>
    <row r="57" spans="1:15" ht="42.75">
      <c r="A57" s="183" t="s">
        <v>225</v>
      </c>
      <c r="B57" s="183" t="s">
        <v>226</v>
      </c>
      <c r="C57" s="184" t="s">
        <v>227</v>
      </c>
      <c r="D57" s="101" t="s">
        <v>54</v>
      </c>
      <c r="E57" s="185" t="s">
        <v>62</v>
      </c>
      <c r="F57" s="186" t="s">
        <v>63</v>
      </c>
      <c r="G57" s="186" t="s">
        <v>63</v>
      </c>
      <c r="H57" s="186" t="s">
        <v>63</v>
      </c>
      <c r="I57" s="187">
        <v>491.4</v>
      </c>
      <c r="J57" s="188">
        <v>38</v>
      </c>
      <c r="K57" s="189">
        <f>IF(J57="-",0,I57*J57)</f>
        <v>18673.2</v>
      </c>
      <c r="L57" s="190" t="str">
        <f>IF(H57="-","-",K57*H57)</f>
        <v>-</v>
      </c>
      <c r="M57" s="191" t="str">
        <f>IF($H57="-","-",(($K57/(-0.8+1)*((1/(1-$H57))^(-0.8+1)-1))))</f>
        <v>-</v>
      </c>
      <c r="N57" s="191" t="str">
        <f>IF($H57="-","-",(($K57/(-1.2+1)*((1/(1-$H57))^(-1.2+1)-1))))</f>
        <v>-</v>
      </c>
      <c r="O57" s="57"/>
    </row>
    <row r="58" spans="1:15" ht="96">
      <c r="A58" s="64" t="s">
        <v>228</v>
      </c>
      <c r="B58" s="64" t="s">
        <v>229</v>
      </c>
      <c r="C58" s="65" t="s">
        <v>230</v>
      </c>
      <c r="D58" s="66" t="s">
        <v>40</v>
      </c>
      <c r="E58" s="67" t="s">
        <v>72</v>
      </c>
      <c r="F58" s="68">
        <v>0</v>
      </c>
      <c r="G58" s="68">
        <v>0.1</v>
      </c>
      <c r="H58" s="68">
        <v>0.05</v>
      </c>
      <c r="I58" s="69">
        <v>240.6</v>
      </c>
      <c r="J58" s="70">
        <f>3010+39825+27140</f>
        <v>69975</v>
      </c>
      <c r="K58" s="71">
        <f>IF(J58="-",0,I58*J58)</f>
        <v>16835985</v>
      </c>
      <c r="L58" s="72">
        <f>IF(H58="-","-",K58*H58)</f>
        <v>841799.25</v>
      </c>
      <c r="M58" s="73">
        <f>IF($H58="-","-",(($K58/(-0.8+1)*((1/(1-$H58))^(-0.8+1)-1))))</f>
        <v>868017.8720244113</v>
      </c>
      <c r="N58" s="73">
        <f>IF($H58="-","-",(($K58/(-1.2+1)*((1/(1-$H58))^(-1.2+1)-1))))</f>
        <v>859158.6921229343</v>
      </c>
      <c r="O58" s="57"/>
    </row>
    <row r="59" spans="1:15" ht="16.5">
      <c r="A59" s="85" t="s">
        <v>231</v>
      </c>
      <c r="B59" s="85" t="s">
        <v>232</v>
      </c>
      <c r="C59" s="86" t="s">
        <v>233</v>
      </c>
      <c r="D59" s="87" t="s">
        <v>48</v>
      </c>
      <c r="E59" s="88" t="s">
        <v>72</v>
      </c>
      <c r="F59" s="89">
        <v>0</v>
      </c>
      <c r="G59" s="89">
        <v>0.1</v>
      </c>
      <c r="H59" s="89">
        <v>0.05</v>
      </c>
      <c r="I59" s="90">
        <v>440.6</v>
      </c>
      <c r="J59" s="91">
        <v>311065</v>
      </c>
      <c r="K59" s="92">
        <f>IF(J59="-",0,I59*J59)</f>
        <v>137055239</v>
      </c>
      <c r="L59" s="93">
        <f>IF(H59="-","-",K59*H59)</f>
        <v>6852761.95</v>
      </c>
      <c r="M59" s="94">
        <f>IF($H59="-","-",(($K59/(-0.8+1)*((1/(1-$H59))^(-0.8+1)-1))))</f>
        <v>7066197.606292539</v>
      </c>
      <c r="N59" s="94">
        <f>IF($H59="-","-",(($K59/(-1.2+1)*((1/(1-$H59))^(-1.2+1)-1))))</f>
        <v>6994078.450879837</v>
      </c>
      <c r="O59" s="57"/>
    </row>
    <row r="60" spans="1:15" ht="29.25">
      <c r="A60" s="47" t="s">
        <v>234</v>
      </c>
      <c r="B60" s="47" t="s">
        <v>235</v>
      </c>
      <c r="C60" s="48" t="s">
        <v>236</v>
      </c>
      <c r="D60" s="49" t="s">
        <v>34</v>
      </c>
      <c r="E60" s="50" t="s">
        <v>68</v>
      </c>
      <c r="F60" s="51" t="s">
        <v>63</v>
      </c>
      <c r="G60" s="51" t="s">
        <v>63</v>
      </c>
      <c r="H60" s="51" t="s">
        <v>63</v>
      </c>
      <c r="I60" s="157">
        <v>2087.7</v>
      </c>
      <c r="J60" s="158">
        <v>253</v>
      </c>
      <c r="K60" s="54">
        <f>IF(J60="-",0,I60*J60)</f>
        <v>528188.1</v>
      </c>
      <c r="L60" s="55" t="str">
        <f>IF(H60="-","-",K60*H60)</f>
        <v>-</v>
      </c>
      <c r="M60" s="56" t="str">
        <f>IF($H60="-","-",(($K60/(-0.8+1)*((1/(1-$H60))^(-0.8+1)-1))))</f>
        <v>-</v>
      </c>
      <c r="N60" s="56" t="str">
        <f>IF($H60="-","-",(($K60/(-1.2+1)*((1/(1-$H60))^(-1.2+1)-1))))</f>
        <v>-</v>
      </c>
      <c r="O60" s="57"/>
    </row>
    <row r="61" spans="1:15" ht="16.5">
      <c r="A61" s="85" t="s">
        <v>237</v>
      </c>
      <c r="B61" s="85" t="s">
        <v>238</v>
      </c>
      <c r="C61" s="86" t="s">
        <v>239</v>
      </c>
      <c r="D61" s="87" t="s">
        <v>48</v>
      </c>
      <c r="E61" s="88" t="s">
        <v>130</v>
      </c>
      <c r="F61" s="89">
        <v>0.9</v>
      </c>
      <c r="G61" s="89">
        <v>1</v>
      </c>
      <c r="H61" s="89">
        <v>0.95</v>
      </c>
      <c r="I61" s="90">
        <v>243.3</v>
      </c>
      <c r="J61" s="91">
        <v>118783</v>
      </c>
      <c r="K61" s="92">
        <f>IF(J61="-",0,I61*J61)</f>
        <v>28899903.900000002</v>
      </c>
      <c r="L61" s="93">
        <f>IF(H61="-","-",K61*H61)</f>
        <v>27454908.705000002</v>
      </c>
      <c r="M61" s="94">
        <f>IF($H61="-","-",(($K61/(-0.8+1)*((1/(1-$H61))^(-0.8+1)-1))))</f>
        <v>118571133.056169</v>
      </c>
      <c r="N61" s="94">
        <f>IF($H61="-","-",(($K61/(-1.2+1)*((1/(1-$H61))^(-1.2+1)-1))))</f>
        <v>65128784.17530351</v>
      </c>
      <c r="O61" s="57"/>
    </row>
    <row r="62" spans="1:15" ht="29.25">
      <c r="A62" s="119" t="s">
        <v>240</v>
      </c>
      <c r="B62" s="119" t="s">
        <v>241</v>
      </c>
      <c r="C62" s="120" t="s">
        <v>242</v>
      </c>
      <c r="D62" s="121" t="s">
        <v>36</v>
      </c>
      <c r="E62" s="122" t="s">
        <v>68</v>
      </c>
      <c r="F62" s="123">
        <v>0</v>
      </c>
      <c r="G62" s="123">
        <v>0</v>
      </c>
      <c r="H62" s="123">
        <v>0</v>
      </c>
      <c r="I62" s="124">
        <v>230.1</v>
      </c>
      <c r="J62" s="125">
        <v>15853</v>
      </c>
      <c r="K62" s="126">
        <f>IF(J62="-",0,I62*J62)</f>
        <v>3647775.3</v>
      </c>
      <c r="L62" s="127">
        <f>IF(H62="-","-",K62*H62)</f>
        <v>0</v>
      </c>
      <c r="M62" s="128">
        <f>IF($H62="-","-",(($K62/(-0.8+1)*((1/(1-$H62))^(-0.8+1)-1))))</f>
        <v>0</v>
      </c>
      <c r="N62" s="128">
        <f>IF($H62="-","-",(($K62/(-1.2+1)*((1/(1-$H62))^(-1.2+1)-1))))</f>
        <v>0</v>
      </c>
      <c r="O62" s="57"/>
    </row>
    <row r="63" spans="1:14" ht="16.5">
      <c r="A63" s="2"/>
      <c r="I63" s="205"/>
      <c r="J63" s="206"/>
      <c r="K63" s="207"/>
      <c r="L63" s="208"/>
      <c r="M63" s="209"/>
      <c r="N63" s="209"/>
    </row>
    <row r="64" spans="1:14" ht="30" customHeight="1">
      <c r="A64" s="210" t="s">
        <v>243</v>
      </c>
      <c r="B64" s="210" t="s">
        <v>248</v>
      </c>
      <c r="C64" s="210"/>
      <c r="D64" s="210"/>
      <c r="E64" s="210"/>
      <c r="F64" s="211">
        <f>AVERAGE(F9:F62)</f>
        <v>0.16666666666666669</v>
      </c>
      <c r="G64" s="211">
        <f>AVERAGE(G9:G62)</f>
        <v>0.3523809523809524</v>
      </c>
      <c r="H64" s="211">
        <f>AVERAGE(H9:H62)</f>
        <v>0.25952380952380955</v>
      </c>
      <c r="I64" s="212">
        <f>AVERAGE(I9:I62)</f>
        <v>676.6777777777776</v>
      </c>
      <c r="J64" s="213">
        <f>AVERAGE(J9:J62)</f>
        <v>53268.92452830189</v>
      </c>
      <c r="K64" s="214">
        <f>SUM(K9:K62)</f>
        <v>1041294789.9000001</v>
      </c>
      <c r="L64" s="215">
        <f>SUM(L9:L62)</f>
        <v>248918236.82999995</v>
      </c>
      <c r="M64" s="216">
        <f>SUM(M9:M62)</f>
        <v>647368745.1766338</v>
      </c>
      <c r="N64" s="216">
        <f>SUM(N9:N62)</f>
        <v>432509775.5410106</v>
      </c>
    </row>
  </sheetData>
  <sheetProtection selectLockedCells="1" selectUnlockedCells="1"/>
  <mergeCells count="10">
    <mergeCell ref="A2:N2"/>
    <mergeCell ref="A3:N3"/>
    <mergeCell ref="P3:V3"/>
    <mergeCell ref="F4:H4"/>
    <mergeCell ref="I4:N4"/>
    <mergeCell ref="M5:N5"/>
    <mergeCell ref="U5:V5"/>
    <mergeCell ref="B6:D6"/>
    <mergeCell ref="E6:H6"/>
    <mergeCell ref="A64:E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L63"/>
  <sheetViews>
    <sheetView zoomScale="90" zoomScaleNormal="90" workbookViewId="0" topLeftCell="A49">
      <selection activeCell="A9" sqref="A9:A63"/>
    </sheetView>
  </sheetViews>
  <sheetFormatPr defaultColWidth="11.00390625" defaultRowHeight="12.75"/>
  <cols>
    <col min="1" max="1" width="10.75390625" style="1" customWidth="1"/>
    <col min="2" max="2" width="14.00390625" style="2" customWidth="1"/>
    <col min="3" max="3" width="40.75390625" style="3" customWidth="1"/>
    <col min="4" max="4" width="12.75390625" style="1" customWidth="1"/>
    <col min="5" max="5" width="11.75390625" style="4" customWidth="1"/>
    <col min="6" max="8" width="10.75390625" style="4" customWidth="1"/>
    <col min="9" max="9" width="14.625" style="1" customWidth="1"/>
    <col min="10" max="10" width="14.00390625" style="1" customWidth="1"/>
    <col min="11" max="11" width="16.875" style="5" customWidth="1"/>
    <col min="12" max="12" width="15.75390625" style="6" customWidth="1"/>
    <col min="13" max="14" width="15.75390625" style="7" customWidth="1"/>
    <col min="15" max="15" width="10.75390625" style="1" customWidth="1"/>
    <col min="16" max="16" width="12.375" style="1" customWidth="1"/>
    <col min="17" max="17" width="14.125" style="1" customWidth="1"/>
    <col min="18" max="18" width="24.75390625" style="1" customWidth="1"/>
    <col min="19" max="19" width="21.25390625" style="1" customWidth="1"/>
    <col min="20" max="20" width="14.125" style="1" customWidth="1"/>
    <col min="21" max="22" width="18.75390625" style="1" customWidth="1"/>
    <col min="23" max="245" width="10.75390625" style="1" customWidth="1"/>
    <col min="246" max="16384" width="10.75390625" style="0" customWidth="1"/>
  </cols>
  <sheetData>
    <row r="1" spans="2:14" s="8" customFormat="1" ht="12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36.75" customHeight="1">
      <c r="A2" s="9" t="s">
        <v>285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2" s="11" customFormat="1" ht="60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12" t="s">
        <v>2</v>
      </c>
      <c r="Q3" s="12"/>
      <c r="R3" s="12"/>
      <c r="S3" s="12"/>
      <c r="T3" s="12"/>
      <c r="U3" s="12"/>
      <c r="V3" s="12"/>
    </row>
    <row r="4" spans="6:246" ht="61.5" customHeight="1">
      <c r="F4" s="13" t="s">
        <v>3</v>
      </c>
      <c r="G4" s="13"/>
      <c r="H4" s="13"/>
      <c r="I4" s="14" t="s">
        <v>4</v>
      </c>
      <c r="J4" s="14"/>
      <c r="K4" s="14"/>
      <c r="L4" s="14"/>
      <c r="M4" s="14"/>
      <c r="N4" s="14"/>
      <c r="IL4" s="1"/>
    </row>
    <row r="5" spans="1:246" ht="78.75" customHeight="1">
      <c r="A5" s="15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8" t="s">
        <v>11</v>
      </c>
      <c r="H5" s="17" t="s">
        <v>12</v>
      </c>
      <c r="I5" s="19" t="s">
        <v>13</v>
      </c>
      <c r="J5" s="19" t="s">
        <v>14</v>
      </c>
      <c r="K5" s="20" t="s">
        <v>15</v>
      </c>
      <c r="L5" s="21" t="s">
        <v>16</v>
      </c>
      <c r="M5" s="22" t="s">
        <v>17</v>
      </c>
      <c r="N5" s="22"/>
      <c r="P5" s="16" t="s">
        <v>8</v>
      </c>
      <c r="Q5" s="23" t="s">
        <v>18</v>
      </c>
      <c r="R5" s="20" t="s">
        <v>15</v>
      </c>
      <c r="S5" s="21" t="s">
        <v>16</v>
      </c>
      <c r="T5" s="24" t="s">
        <v>19</v>
      </c>
      <c r="U5" s="22" t="s">
        <v>17</v>
      </c>
      <c r="V5" s="22"/>
      <c r="IL5" s="1"/>
    </row>
    <row r="6" spans="1:246" ht="47.25" customHeight="1">
      <c r="A6" s="25"/>
      <c r="B6" s="26" t="s">
        <v>20</v>
      </c>
      <c r="C6" s="26"/>
      <c r="D6" s="26"/>
      <c r="E6" s="27" t="s">
        <v>21</v>
      </c>
      <c r="F6" s="27"/>
      <c r="G6" s="27"/>
      <c r="H6" s="27"/>
      <c r="I6" s="28" t="s">
        <v>20</v>
      </c>
      <c r="J6" s="28" t="s">
        <v>22</v>
      </c>
      <c r="K6" s="29" t="s">
        <v>23</v>
      </c>
      <c r="L6" s="30" t="s">
        <v>24</v>
      </c>
      <c r="M6" s="31">
        <v>-0.8</v>
      </c>
      <c r="N6" s="31">
        <v>-1.2</v>
      </c>
      <c r="P6" s="32"/>
      <c r="Q6" s="33" t="s">
        <v>25</v>
      </c>
      <c r="R6" s="29" t="s">
        <v>23</v>
      </c>
      <c r="S6" s="30" t="s">
        <v>26</v>
      </c>
      <c r="T6" s="34" t="s">
        <v>27</v>
      </c>
      <c r="U6" s="31">
        <v>-0.8</v>
      </c>
      <c r="V6" s="31">
        <v>-1.2</v>
      </c>
      <c r="IL6" s="1"/>
    </row>
    <row r="7" spans="2:246" ht="27.75" customHeight="1">
      <c r="B7" s="35"/>
      <c r="C7" s="36"/>
      <c r="D7" s="37"/>
      <c r="E7" s="38"/>
      <c r="F7" s="39"/>
      <c r="G7" s="39"/>
      <c r="H7" s="39"/>
      <c r="I7" s="19" t="s">
        <v>28</v>
      </c>
      <c r="J7" s="19" t="s">
        <v>29</v>
      </c>
      <c r="K7" s="40" t="s">
        <v>30</v>
      </c>
      <c r="L7" s="41" t="s">
        <v>30</v>
      </c>
      <c r="M7" s="42" t="s">
        <v>30</v>
      </c>
      <c r="N7" s="42" t="s">
        <v>30</v>
      </c>
      <c r="P7" s="43"/>
      <c r="Q7" s="19"/>
      <c r="R7" s="40"/>
      <c r="S7" s="41"/>
      <c r="T7" s="44"/>
      <c r="U7" s="42"/>
      <c r="V7" s="42"/>
      <c r="IL7" s="1"/>
    </row>
    <row r="8" spans="2:246" ht="16.5">
      <c r="B8" s="35"/>
      <c r="C8" s="36"/>
      <c r="D8" s="37"/>
      <c r="E8" s="38"/>
      <c r="F8" s="39"/>
      <c r="G8" s="39"/>
      <c r="H8" s="39"/>
      <c r="I8" s="19"/>
      <c r="J8" s="19"/>
      <c r="K8" s="40"/>
      <c r="L8" s="41"/>
      <c r="M8" s="42"/>
      <c r="N8" s="42"/>
      <c r="P8" s="43"/>
      <c r="Q8" s="43"/>
      <c r="R8" s="40"/>
      <c r="S8" s="45"/>
      <c r="T8" s="44"/>
      <c r="U8" s="46"/>
      <c r="V8" s="46"/>
      <c r="IL8" s="1"/>
    </row>
    <row r="9" spans="1:22" ht="29.25">
      <c r="A9" s="47" t="s">
        <v>31</v>
      </c>
      <c r="B9" s="47" t="s">
        <v>32</v>
      </c>
      <c r="C9" s="48" t="s">
        <v>33</v>
      </c>
      <c r="D9" s="49" t="s">
        <v>34</v>
      </c>
      <c r="E9" s="50" t="s">
        <v>35</v>
      </c>
      <c r="F9" s="51">
        <v>0.4</v>
      </c>
      <c r="G9" s="51">
        <v>0.9</v>
      </c>
      <c r="H9" s="51">
        <v>0.65</v>
      </c>
      <c r="I9" s="52">
        <v>687.9</v>
      </c>
      <c r="J9" s="53">
        <v>2153</v>
      </c>
      <c r="K9" s="54">
        <f>IF(J9="-",0,I9*J9)</f>
        <v>1481048.7</v>
      </c>
      <c r="L9" s="55">
        <f>IF(H9="-","-",$K9*H9)</f>
        <v>962681.655</v>
      </c>
      <c r="M9" s="56">
        <f>IF($H9="-","-",(($K9/(-0.8+1)*((1/(1-$H9))^(-0.8+1)-1))))</f>
        <v>1730117.9374073257</v>
      </c>
      <c r="N9" s="56">
        <f>IF($H9="-","-",(($K9/(-1.2+1)*((1/(1-$H9))^(-1.2+1)-1))))</f>
        <v>1402456.235366547</v>
      </c>
      <c r="O9" s="57"/>
      <c r="P9" s="58" t="s">
        <v>36</v>
      </c>
      <c r="Q9" s="59">
        <f>SUMIF($D$9:$D$61,$P9,$K$9:$K$61)/SUMIF($D$9:$D$61,$P9,$J$9:$J$61)</f>
        <v>224.65461522070254</v>
      </c>
      <c r="R9" s="217">
        <f>SUMIF($D$9:$D$61,$P9,$K$9:$K$61)</f>
        <v>284657616.4</v>
      </c>
      <c r="S9" s="218">
        <f>SUMIF($D$9:$D$61,$P9,$L$9:$L$61)</f>
        <v>0</v>
      </c>
      <c r="T9" s="62">
        <f>IF(R9=0,"-",S9/R9)</f>
        <v>0</v>
      </c>
      <c r="U9" s="219">
        <f>SUMIF($D$9:$D$61,$P9,$M$9:$M$61)</f>
        <v>0</v>
      </c>
      <c r="V9" s="219">
        <f>SUMIF($D$9:$D$61,$P9,$N$9:$N$61)</f>
        <v>0</v>
      </c>
    </row>
    <row r="10" spans="1:22" ht="16.5">
      <c r="A10" s="64" t="s">
        <v>37</v>
      </c>
      <c r="B10" s="64" t="s">
        <v>38</v>
      </c>
      <c r="C10" s="65" t="s">
        <v>39</v>
      </c>
      <c r="D10" s="66" t="s">
        <v>40</v>
      </c>
      <c r="E10" s="67" t="s">
        <v>35</v>
      </c>
      <c r="F10" s="68">
        <v>0.4</v>
      </c>
      <c r="G10" s="68">
        <v>0.9</v>
      </c>
      <c r="H10" s="68">
        <v>0.65</v>
      </c>
      <c r="I10" s="69">
        <v>342.2</v>
      </c>
      <c r="J10" s="70">
        <v>554</v>
      </c>
      <c r="K10" s="71">
        <f>IF(J10="-",0,I10*J10)</f>
        <v>189578.8</v>
      </c>
      <c r="L10" s="72">
        <f>IF(H10="-","-",K10*H10)</f>
        <v>123226.22</v>
      </c>
      <c r="M10" s="73">
        <f>IF($H10="-","-",(($K10/(-0.8+1)*((1/(1-$H10))^(-0.8+1)-1))))</f>
        <v>221460.4303235646</v>
      </c>
      <c r="N10" s="73">
        <f>IF($H10="-","-",(($K10/(-1.2+1)*((1/(1-$H10))^(-1.2+1)-1))))</f>
        <v>179518.72220900469</v>
      </c>
      <c r="O10" s="57"/>
      <c r="P10" s="66" t="s">
        <v>40</v>
      </c>
      <c r="Q10" s="74">
        <f>SUMIF($D$9:$D$61,$P10,$K$9:$K$61)/SUMIF($D$9:$D$61,$P10,$J$9:$J$61)</f>
        <v>606.5284364658655</v>
      </c>
      <c r="R10" s="220">
        <f>SUMIF($D$9:$D$61,$P10,$K$9:$K$61)</f>
        <v>550584679.5999999</v>
      </c>
      <c r="S10" s="221">
        <f>SUMIF($D$9:$D$61,$P10,$L$9:$L$61)</f>
        <v>126414048.78</v>
      </c>
      <c r="T10" s="77">
        <f>IF(R10=0,"-",S10/R10)</f>
        <v>0.22959964827179696</v>
      </c>
      <c r="U10" s="222">
        <f>SUMIF($D$9:$D$61,$P10,$M$9:$M$61)</f>
        <v>225550568.7903929</v>
      </c>
      <c r="V10" s="222">
        <f>SUMIF($D$9:$D$61,$P10,$N$9:$N$61)</f>
        <v>183230729.16622168</v>
      </c>
    </row>
    <row r="11" spans="1:22" ht="29.25">
      <c r="A11" s="64" t="s">
        <v>41</v>
      </c>
      <c r="B11" s="64" t="s">
        <v>42</v>
      </c>
      <c r="C11" s="65" t="s">
        <v>43</v>
      </c>
      <c r="D11" s="66" t="s">
        <v>40</v>
      </c>
      <c r="E11" s="67" t="s">
        <v>35</v>
      </c>
      <c r="F11" s="68">
        <v>0.4</v>
      </c>
      <c r="G11" s="68">
        <v>0.9</v>
      </c>
      <c r="H11" s="68">
        <v>0.65</v>
      </c>
      <c r="I11" s="69">
        <v>745.8</v>
      </c>
      <c r="J11" s="70">
        <v>972</v>
      </c>
      <c r="K11" s="71">
        <f>IF(J11="-",0,I11*J11)</f>
        <v>724917.6</v>
      </c>
      <c r="L11" s="72">
        <f>IF(H11="-","-",K11*H11)</f>
        <v>471196.44</v>
      </c>
      <c r="M11" s="73">
        <f>IF($H11="-","-",(($K11/(-0.8+1)*((1/(1-$H11))^(-0.8+1)-1))))</f>
        <v>846827.6180940361</v>
      </c>
      <c r="N11" s="73">
        <f>IF($H11="-","-",(($K11/(-1.2+1)*((1/(1-$H11))^(-1.2+1)-1))))</f>
        <v>686449.546356546</v>
      </c>
      <c r="O11" s="57"/>
      <c r="P11" s="79" t="s">
        <v>44</v>
      </c>
      <c r="Q11" s="80">
        <f>SUMIF($D$9:$D$61,$P11,$K$9:$K$61)/SUMIF($D$9:$D$61,$P11,$J$9:$J$61)</f>
        <v>395.23005340816513</v>
      </c>
      <c r="R11" s="223">
        <f>SUMIF($D$9:$D$61,$P11,$K$9:$K$61)</f>
        <v>165912043.20000002</v>
      </c>
      <c r="S11" s="224">
        <f>SUMIF($D$9:$D$61,$P11,$L$9:$L$61)</f>
        <v>2968349.1</v>
      </c>
      <c r="T11" s="83">
        <f>IF(R11=0,"-",S11/R11)</f>
        <v>0.017891100867354032</v>
      </c>
      <c r="U11" s="225">
        <f>SUMIF($D$9:$D$61,$P11,$M$9:$M$61)</f>
        <v>3515940.705515695</v>
      </c>
      <c r="V11" s="225">
        <f>SUMIF($D$9:$D$61,$P11,$N$9:$N$61)</f>
        <v>3319355.710530758</v>
      </c>
    </row>
    <row r="12" spans="1:22" ht="42.75">
      <c r="A12" s="85" t="s">
        <v>51</v>
      </c>
      <c r="B12" s="85" t="s">
        <v>52</v>
      </c>
      <c r="C12" s="86" t="s">
        <v>53</v>
      </c>
      <c r="D12" s="87" t="s">
        <v>48</v>
      </c>
      <c r="E12" s="88" t="s">
        <v>49</v>
      </c>
      <c r="F12" s="89" t="str">
        <f>IF(E12="No aumenta",0,IF(E12="Pequeña",0,IF(E12="Moderada",0.1,IF(E12="Grande",0.4,IF(E12="Esencial",0.9,"-")))))</f>
        <v>-</v>
      </c>
      <c r="G12" s="89" t="str">
        <f>IF(E12="No aumenta",0,IF(E12="Pequeña",0.1,IF(E12="Moderada",0.4,IF(E12="Grande",0.9,IF(E12="Esencial",1,"-")))))</f>
        <v>-</v>
      </c>
      <c r="H12" s="89" t="str">
        <f>IF(F12="-","-",AVERAGE(F12:G12))</f>
        <v>-</v>
      </c>
      <c r="I12" s="90">
        <v>1257.3</v>
      </c>
      <c r="J12" s="91">
        <v>3671</v>
      </c>
      <c r="K12" s="92">
        <f>IF(J12="-",0,I12*J12)</f>
        <v>4615548.3</v>
      </c>
      <c r="L12" s="93" t="str">
        <f>IF(H12="-","-",K12*H12)</f>
        <v>-</v>
      </c>
      <c r="M12" s="94" t="str">
        <f>IF($H12="-","-",(($K12/(-0.8+1)*((1/(1-$H12))^(-0.8+1)-1))))</f>
        <v>-</v>
      </c>
      <c r="N12" s="94" t="str">
        <f>IF($H12="-","-",(($K12/(-1.2+1)*((1/(1-$H12))^(-1.2+1)-1))))</f>
        <v>-</v>
      </c>
      <c r="O12" s="57"/>
      <c r="P12" s="95" t="s">
        <v>50</v>
      </c>
      <c r="Q12" s="96">
        <f>SUMIF($D$9:$D$61,$P12,$K$9:$K$61)/SUMIF($D$9:$D$61,$P12,$J$9:$J$61)</f>
        <v>276.8681095994673</v>
      </c>
      <c r="R12" s="226">
        <f>SUMIF($D$9:$D$61,$P12,$K$9:$K$61)</f>
        <v>8730482.100000001</v>
      </c>
      <c r="S12" s="227">
        <f>SUMIF($D$9:$D$61,$P12,$L$9:$L$61)</f>
        <v>123521.51499999998</v>
      </c>
      <c r="T12" s="99">
        <f>IF(R12=0,"-",S12/R12)</f>
        <v>0.014148304020919987</v>
      </c>
      <c r="U12" s="228">
        <f>SUMIF($D$9:$D$61,$P12,$M$9:$M$61)</f>
        <v>145838.40610078906</v>
      </c>
      <c r="V12" s="228">
        <f>SUMIF($D$9:$D$61,$P12,$N$9:$N$61)</f>
        <v>137828.67269567974</v>
      </c>
    </row>
    <row r="13" spans="1:22" ht="29.25">
      <c r="A13" s="119" t="s">
        <v>65</v>
      </c>
      <c r="B13" s="119" t="s">
        <v>66</v>
      </c>
      <c r="C13" s="120" t="s">
        <v>67</v>
      </c>
      <c r="D13" s="121" t="s">
        <v>36</v>
      </c>
      <c r="E13" s="122" t="s">
        <v>68</v>
      </c>
      <c r="F13" s="123">
        <v>0</v>
      </c>
      <c r="G13" s="123">
        <v>0</v>
      </c>
      <c r="H13" s="123">
        <v>0</v>
      </c>
      <c r="I13" s="124">
        <v>194.8</v>
      </c>
      <c r="J13" s="125">
        <v>103713</v>
      </c>
      <c r="K13" s="126">
        <f>IF(J13="-",0,I13*J13)</f>
        <v>20203292.400000002</v>
      </c>
      <c r="L13" s="127">
        <f>IF(H13="-","-",K13*H13)</f>
        <v>0</v>
      </c>
      <c r="M13" s="128">
        <f>IF($H13="-","-",(($K13/(-0.8+1)*((1/(1-$H13))^(-0.8+1)-1))))</f>
        <v>0</v>
      </c>
      <c r="N13" s="128">
        <f>IF($H13="-","-",(($K13/(-1.2+1)*((1/(1-$H13))^(-1.2+1)-1))))</f>
        <v>0</v>
      </c>
      <c r="O13" s="57"/>
      <c r="P13" s="101" t="s">
        <v>54</v>
      </c>
      <c r="Q13" s="102">
        <f>SUMIF($D$9:$D$61,$P13,$K$9:$K$61)/SUMIF($D$9:$D$61,$P13,$J$9:$J$61)</f>
        <v>215.31328888078556</v>
      </c>
      <c r="R13" s="229">
        <f>SUMIF($D$9:$D$61,$P13,$K$9:$K$61)</f>
        <v>8266523.1</v>
      </c>
      <c r="S13" s="230">
        <f>SUMIF($D$9:$D$61,$P13,$L$9:$L$61)</f>
        <v>0</v>
      </c>
      <c r="T13" s="105">
        <f>IF(R13=0,"-",S13/R13)</f>
        <v>0</v>
      </c>
      <c r="U13" s="231">
        <f>SUMIF($D$9:$D$61,$P13,$M$9:$M$61)</f>
        <v>0</v>
      </c>
      <c r="V13" s="231">
        <f>SUMIF($D$9:$D$61,$P13,$N$9:$N$61)</f>
        <v>0</v>
      </c>
    </row>
    <row r="14" spans="1:22" ht="42.75">
      <c r="A14" s="134" t="s">
        <v>69</v>
      </c>
      <c r="B14" s="134" t="s">
        <v>70</v>
      </c>
      <c r="C14" s="135" t="s">
        <v>71</v>
      </c>
      <c r="D14" s="95" t="s">
        <v>50</v>
      </c>
      <c r="E14" s="136" t="s">
        <v>72</v>
      </c>
      <c r="F14" s="137">
        <v>0</v>
      </c>
      <c r="G14" s="137">
        <v>0.1</v>
      </c>
      <c r="H14" s="137">
        <v>0.05</v>
      </c>
      <c r="I14" s="138">
        <v>1857.6</v>
      </c>
      <c r="J14" s="139">
        <v>33</v>
      </c>
      <c r="K14" s="140">
        <f>IF(J14="-",0,I14*J14)</f>
        <v>61300.799999999996</v>
      </c>
      <c r="L14" s="141">
        <f>IF(H14="-","-",K14*H14)</f>
        <v>3065.04</v>
      </c>
      <c r="M14" s="142">
        <f>IF($H14="-","-",(($K14/(-0.8+1)*((1/(1-$H14))^(-0.8+1)-1))))</f>
        <v>3160.503526784684</v>
      </c>
      <c r="N14" s="142">
        <f>IF($H14="-","-",(($K14/(-1.2+1)*((1/(1-$H14))^(-1.2+1)-1))))</f>
        <v>3128.2467378112756</v>
      </c>
      <c r="O14" s="57"/>
      <c r="P14" s="107" t="s">
        <v>58</v>
      </c>
      <c r="Q14" s="108">
        <f>SUMIF($D$9:$D$61,$P14,$K$9:$K$61)/SUMIF($D$9:$D$61,$P14,$J$9:$J$61)</f>
        <v>3476.9</v>
      </c>
      <c r="R14" s="250">
        <f>SUMIF($D$9:$D$61,$P14,$K$9:$K$61)</f>
        <v>10677559.9</v>
      </c>
      <c r="S14" s="251">
        <f>SUMIF($D$9:$D$61,$P14,$L$9:$L$61)</f>
        <v>533877.995</v>
      </c>
      <c r="T14" s="111">
        <f>IF(R14=0,"-",S14/R14)</f>
        <v>0.049999999999999996</v>
      </c>
      <c r="U14" s="252">
        <f>SUMIF($D$9:$D$61,$P14,$M$9:$M$61)</f>
        <v>550506.1226183788</v>
      </c>
      <c r="V14" s="252">
        <f>SUMIF($D$9:$D$61,$P14,$N$9:$N$61)</f>
        <v>544887.5369482861</v>
      </c>
    </row>
    <row r="15" spans="1:22" ht="29.25">
      <c r="A15" s="85" t="s">
        <v>73</v>
      </c>
      <c r="B15" s="85" t="s">
        <v>74</v>
      </c>
      <c r="C15" s="86" t="s">
        <v>75</v>
      </c>
      <c r="D15" s="87" t="s">
        <v>48</v>
      </c>
      <c r="E15" s="88" t="s">
        <v>72</v>
      </c>
      <c r="F15" s="89">
        <v>0</v>
      </c>
      <c r="G15" s="89">
        <v>0.1</v>
      </c>
      <c r="H15" s="89">
        <v>0.05</v>
      </c>
      <c r="I15" s="90">
        <v>1536</v>
      </c>
      <c r="J15" s="91">
        <v>101</v>
      </c>
      <c r="K15" s="92">
        <f>IF(J15="-",0,I15*J15)</f>
        <v>155136</v>
      </c>
      <c r="L15" s="93">
        <f>IF(H15="-","-",K15*H15)</f>
        <v>7756.8</v>
      </c>
      <c r="M15" s="94">
        <f>IF($H15="-","-",(($K15/(-0.8+1)*((1/(1-$H15))^(-0.8+1)-1))))</f>
        <v>7998.392763736667</v>
      </c>
      <c r="N15" s="94">
        <f>IF($H15="-","-",(($K15/(-1.2+1)*((1/(1-$H15))^(-1.2+1)-1))))</f>
        <v>7916.759421036757</v>
      </c>
      <c r="O15" s="57"/>
      <c r="P15" s="113" t="s">
        <v>64</v>
      </c>
      <c r="Q15" s="114">
        <f>SUMIF($D$9:$D$61,$P15,$K$9:$K$61)/SUMIF($D$9:$D$61,$P15,$J$9:$J$61)</f>
        <v>31.2</v>
      </c>
      <c r="R15" s="245">
        <f>SUMIF($D$9:$D$61,$P15,$K$9:$K$61)</f>
        <v>8424</v>
      </c>
      <c r="S15" s="246">
        <f>SUMIF($D$9:$D$61,$P15,$L$9:$L$61)</f>
        <v>0</v>
      </c>
      <c r="T15" s="117">
        <f>IF(R15=0,"-",S15/R15)</f>
        <v>0</v>
      </c>
      <c r="U15" s="247">
        <f>SUMIF($D$9:$D$61,$P15,$M$9:$M$61)</f>
        <v>0</v>
      </c>
      <c r="V15" s="247">
        <f>SUMIF($D$9:$D$61,$P15,$N$9:$N$61)</f>
        <v>0</v>
      </c>
    </row>
    <row r="16" spans="1:22" ht="42.75">
      <c r="A16" s="134" t="s">
        <v>254</v>
      </c>
      <c r="B16" s="134" t="s">
        <v>77</v>
      </c>
      <c r="C16" s="135" t="s">
        <v>78</v>
      </c>
      <c r="D16" s="95" t="s">
        <v>50</v>
      </c>
      <c r="E16" s="136" t="s">
        <v>79</v>
      </c>
      <c r="F16" s="137">
        <v>0.1</v>
      </c>
      <c r="G16" s="137">
        <v>0.4</v>
      </c>
      <c r="H16" s="137">
        <v>0.25</v>
      </c>
      <c r="I16" s="138">
        <v>256.7</v>
      </c>
      <c r="J16" s="139">
        <v>1877</v>
      </c>
      <c r="K16" s="140">
        <f>IF(J16="-",0,I16*J16)</f>
        <v>481825.89999999997</v>
      </c>
      <c r="L16" s="141">
        <f>IF(H16="-","-",K16*H16)</f>
        <v>120456.47499999999</v>
      </c>
      <c r="M16" s="142">
        <f>IF($H16="-","-",(($K16/(-0.8+1)*((1/(1-$H16))^(-0.8+1)-1))))</f>
        <v>142677.90257400437</v>
      </c>
      <c r="N16" s="142">
        <f>IF($H16="-","-",(($K16/(-1.2+1)*((1/(1-$H16))^(-1.2+1)-1))))</f>
        <v>134700.42595786846</v>
      </c>
      <c r="O16" s="57"/>
      <c r="P16" s="49" t="s">
        <v>34</v>
      </c>
      <c r="Q16" s="129">
        <f>SUMIF($D$9:$D$61,$P16,$K$9:$K$61)/SUMIF($D$9:$D$61,$P16,$J$9:$J$61)</f>
        <v>1392.6671637510753</v>
      </c>
      <c r="R16" s="232">
        <f>SUMIF($D$9:$D$61,$P16,$K$9:$K$61)</f>
        <v>9712460.799999999</v>
      </c>
      <c r="S16" s="233">
        <f>SUMIF($D$9:$D$61,$P16,$L$9:$L$61)</f>
        <v>2228774.455</v>
      </c>
      <c r="T16" s="132">
        <f>IF(R16=0,"-",S16/R16)</f>
        <v>0.22947577353413878</v>
      </c>
      <c r="U16" s="234">
        <f>SUMIF($D$9:$D$61,$P16,$M$9:$M$61)</f>
        <v>3229775.5122122373</v>
      </c>
      <c r="V16" s="234">
        <f>SUMIF($D$9:$D$61,$P16,$N$9:$N$61)</f>
        <v>2818264.222958666</v>
      </c>
    </row>
    <row r="17" spans="1:22" ht="42.75">
      <c r="A17" s="85" t="s">
        <v>81</v>
      </c>
      <c r="B17" s="85" t="s">
        <v>82</v>
      </c>
      <c r="C17" s="86" t="s">
        <v>83</v>
      </c>
      <c r="D17" s="87" t="s">
        <v>48</v>
      </c>
      <c r="E17" s="88" t="s">
        <v>49</v>
      </c>
      <c r="F17" s="89" t="str">
        <f>IF(E17="No aumenta",0,IF(E17="Pequeña",0,IF(E17="Moderada",0.1,IF(E17="Grande",0.4,IF(E17="Esencial",0.9,"-")))))</f>
        <v>-</v>
      </c>
      <c r="G17" s="89" t="str">
        <f>IF(E17="No aumenta",0,IF(E17="Pequeña",0.1,IF(E17="Moderada",0.4,IF(E17="Grande",0.9,IF(E17="Esencial",1,"-")))))</f>
        <v>-</v>
      </c>
      <c r="H17" s="89" t="str">
        <f>IF(F17="-","-",AVERAGE(F17:G17))</f>
        <v>-</v>
      </c>
      <c r="I17" s="90">
        <v>247</v>
      </c>
      <c r="J17" s="91">
        <v>1970</v>
      </c>
      <c r="K17" s="92">
        <f>IF(J17="-",0,I17*J17)</f>
        <v>486590</v>
      </c>
      <c r="L17" s="93" t="str">
        <f>IF(H17="-","-",K17*H17)</f>
        <v>-</v>
      </c>
      <c r="M17" s="94" t="str">
        <f>IF($H17="-","-",(($K17/(-0.8+1)*((1/(1-$H17))^(-0.8+1)-1))))</f>
        <v>-</v>
      </c>
      <c r="N17" s="94" t="str">
        <f>IF($H17="-","-",(($K17/(-1.2+1)*((1/(1-$H17))^(-1.2+1)-1))))</f>
        <v>-</v>
      </c>
      <c r="O17" s="57"/>
      <c r="P17" s="87" t="s">
        <v>48</v>
      </c>
      <c r="Q17" s="143">
        <f>SUMIF($D$9:$D$61,$P17,$K$9:$K$61)/SUMIF($D$9:$D$61,$P17,$J$9:$J$61)</f>
        <v>436.0941917841169</v>
      </c>
      <c r="R17" s="235">
        <f>SUMIF($D$9:$D$61,$P17,$K$9:$K$61)</f>
        <v>623693627.3000001</v>
      </c>
      <c r="S17" s="236">
        <f>SUMIF($D$9:$D$61,$P17,$L$9:$L$61)</f>
        <v>51270358.015</v>
      </c>
      <c r="T17" s="146">
        <f>IF(R17=0,"-",S17/R17)</f>
        <v>0.08220439615032121</v>
      </c>
      <c r="U17" s="237">
        <f>SUMIF($D$9:$D$61,$P17,$M$9:$M$61)</f>
        <v>122439549.0654864</v>
      </c>
      <c r="V17" s="237">
        <f>SUMIF($D$9:$D$61,$P17,$N$9:$N$61)</f>
        <v>81060650.7634982</v>
      </c>
    </row>
    <row r="18" spans="1:22" ht="42.75">
      <c r="A18" s="85" t="s">
        <v>281</v>
      </c>
      <c r="B18" s="85" t="s">
        <v>88</v>
      </c>
      <c r="C18" s="86" t="s">
        <v>83</v>
      </c>
      <c r="D18" s="87" t="s">
        <v>48</v>
      </c>
      <c r="E18" s="88" t="s">
        <v>49</v>
      </c>
      <c r="F18" s="89" t="str">
        <f>IF(E18="No aumenta",0,IF(E18="Pequeña",0,IF(E18="Moderada",0.1,IF(E18="Grande",0.4,IF(E18="Esencial",0.9,"-")))))</f>
        <v>-</v>
      </c>
      <c r="G18" s="89" t="str">
        <f>IF(E18="No aumenta",0,IF(E18="Pequeña",0.1,IF(E18="Moderada",0.4,IF(E18="Grande",0.9,IF(E18="Esencial",1,"-")))))</f>
        <v>-</v>
      </c>
      <c r="H18" s="89" t="str">
        <f>IF(F18="-","-",AVERAGE(F18:G18))</f>
        <v>-</v>
      </c>
      <c r="I18" s="90">
        <v>325.3</v>
      </c>
      <c r="J18" s="91">
        <f>1091+15297</f>
        <v>16388</v>
      </c>
      <c r="K18" s="92">
        <f>IF(J18="-",0,I18*J18)</f>
        <v>5331016.4</v>
      </c>
      <c r="L18" s="93" t="str">
        <f>IF(H18="-","-",K18*H18)</f>
        <v>-</v>
      </c>
      <c r="M18" s="94" t="str">
        <f>IF($H18="-","-",(($K18/(-0.8+1)*((1/(1-$H18))^(-0.8+1)-1))))</f>
        <v>-</v>
      </c>
      <c r="N18" s="94" t="str">
        <f>IF($H18="-","-",(($K18/(-1.2+1)*((1/(1-$H18))^(-1.2+1)-1))))</f>
        <v>-</v>
      </c>
      <c r="O18" s="57"/>
      <c r="P18" s="57"/>
      <c r="Q18" s="57"/>
      <c r="R18" s="238"/>
      <c r="S18" s="239"/>
      <c r="T18" s="150"/>
      <c r="U18" s="240"/>
      <c r="V18" s="240"/>
    </row>
    <row r="19" spans="1:22" ht="29.25">
      <c r="A19" s="64" t="s">
        <v>246</v>
      </c>
      <c r="B19" s="64" t="s">
        <v>90</v>
      </c>
      <c r="C19" s="65" t="s">
        <v>91</v>
      </c>
      <c r="D19" s="66" t="s">
        <v>40</v>
      </c>
      <c r="E19" s="67" t="s">
        <v>35</v>
      </c>
      <c r="F19" s="68">
        <f>IF(E19="No aumenta",0,IF(E19="Pequeña",0,IF(E19="Moderada",0.1,IF(E19="Grande",0.4,IF(E19="Esencial",0.9,"-")))))</f>
        <v>0.4</v>
      </c>
      <c r="G19" s="68">
        <f>IF(E19="No aumenta",0,IF(E19="Pequeña",0.1,IF(E19="Moderada",0.4,IF(E19="Grande",0.9,IF(E19="Esencial",1,"-")))))</f>
        <v>0.9</v>
      </c>
      <c r="H19" s="68">
        <f>IF(F19="-","-",AVERAGE(F19:G19))</f>
        <v>0.65</v>
      </c>
      <c r="I19" s="69">
        <v>1344.2</v>
      </c>
      <c r="J19" s="70">
        <v>36233</v>
      </c>
      <c r="K19" s="71">
        <f>IF(J19="-",0,I19*J19)</f>
        <v>48704398.6</v>
      </c>
      <c r="L19" s="72">
        <f>IF(H19="-","-",K19*H19)</f>
        <v>31657859.090000004</v>
      </c>
      <c r="M19" s="73">
        <f>IF($H19="-","-",(($K19/(-0.8+1)*((1/(1-$H19))^(-0.8+1)-1))))</f>
        <v>56895059.32417769</v>
      </c>
      <c r="N19" s="73">
        <f>IF($H19="-","-",(($K19/(-1.2+1)*((1/(1-$H19))^(-1.2+1)-1))))</f>
        <v>46119879.45186929</v>
      </c>
      <c r="O19" s="57"/>
      <c r="P19" s="152" t="s">
        <v>80</v>
      </c>
      <c r="Q19" s="152"/>
      <c r="R19" s="241">
        <f>SUM(R9:R17)</f>
        <v>1662243416.4</v>
      </c>
      <c r="S19" s="242">
        <f>SUM(S9:S17)</f>
        <v>183538929.86</v>
      </c>
      <c r="T19" s="155">
        <f>IF(R19=0,"-",S19/R19)</f>
        <v>0.1104163975318964</v>
      </c>
      <c r="U19" s="243">
        <f>SUM(U9:U17)</f>
        <v>355432178.6023264</v>
      </c>
      <c r="V19" s="243">
        <f>SUM(V9:V17)</f>
        <v>271111716.07285327</v>
      </c>
    </row>
    <row r="20" spans="1:15" ht="16.5">
      <c r="A20" s="47" t="s">
        <v>92</v>
      </c>
      <c r="B20" s="47" t="s">
        <v>93</v>
      </c>
      <c r="C20" s="48" t="s">
        <v>94</v>
      </c>
      <c r="D20" s="49" t="s">
        <v>34</v>
      </c>
      <c r="E20" s="50" t="s">
        <v>79</v>
      </c>
      <c r="F20" s="51">
        <f>IF(E20="No aumenta",0,IF(E20="Pequeña",0,IF(E20="Moderada",0.1,IF(E20="Grande",0.4,IF(E20="Esencial",0.9,"-")))))</f>
        <v>0.1</v>
      </c>
      <c r="G20" s="51">
        <f>IF(E20="No aumenta",0,IF(E20="Pequeña",0.1,IF(E20="Moderada",0.4,IF(E20="Grande",0.9,IF(E20="Esencial",1,"-")))))</f>
        <v>0.4</v>
      </c>
      <c r="H20" s="51">
        <f>IF(F20="-","-",AVERAGE(F20:G20))</f>
        <v>0.25</v>
      </c>
      <c r="I20" s="157">
        <v>1532.8</v>
      </c>
      <c r="J20" s="158">
        <v>3304</v>
      </c>
      <c r="K20" s="54">
        <f>IF(J20="-",0,I20*J20)</f>
        <v>5064371.2</v>
      </c>
      <c r="L20" s="55">
        <f>IF(H20="-","-",K20*H20)</f>
        <v>1266092.8</v>
      </c>
      <c r="M20" s="56">
        <f>IF($H20="-","-",(($K20/(-0.8+1)*((1/(1-$H20))^(-0.8+1)-1))))</f>
        <v>1499657.5748049114</v>
      </c>
      <c r="N20" s="56">
        <f>IF($H20="-","-",(($K20/(-1.2+1)*((1/(1-$H20))^(-1.2+1)-1))))</f>
        <v>1415807.9875921188</v>
      </c>
      <c r="O20" s="57"/>
    </row>
    <row r="21" spans="1:15" ht="16.5">
      <c r="A21" s="134" t="s">
        <v>95</v>
      </c>
      <c r="B21" s="134" t="s">
        <v>96</v>
      </c>
      <c r="C21" s="135" t="s">
        <v>97</v>
      </c>
      <c r="D21" s="95" t="s">
        <v>50</v>
      </c>
      <c r="E21" s="136" t="s">
        <v>68</v>
      </c>
      <c r="F21" s="137">
        <v>0</v>
      </c>
      <c r="G21" s="137">
        <v>0</v>
      </c>
      <c r="H21" s="137">
        <v>0</v>
      </c>
      <c r="I21" s="138">
        <v>652.7</v>
      </c>
      <c r="J21" s="139">
        <v>3554</v>
      </c>
      <c r="K21" s="140">
        <f>IF(J21="-",0,I21*J21)</f>
        <v>2319695.8000000003</v>
      </c>
      <c r="L21" s="141">
        <f>IF(H21="-","-",K21*H21)</f>
        <v>0</v>
      </c>
      <c r="M21" s="142">
        <f>IF($H21="-","-",(($K21/(-0.8+1)*((1/(1-$H21))^(-0.8+1)-1))))</f>
        <v>0</v>
      </c>
      <c r="N21" s="142">
        <f>IF($H21="-","-",(($K21/(-1.2+1)*((1/(1-$H21))^(-1.2+1)-1))))</f>
        <v>0</v>
      </c>
      <c r="O21" s="57"/>
    </row>
    <row r="22" spans="1:15" ht="42.75">
      <c r="A22" s="159" t="s">
        <v>98</v>
      </c>
      <c r="B22" s="159" t="s">
        <v>99</v>
      </c>
      <c r="C22" s="160" t="s">
        <v>100</v>
      </c>
      <c r="D22" s="161" t="s">
        <v>58</v>
      </c>
      <c r="E22" s="162" t="s">
        <v>72</v>
      </c>
      <c r="F22" s="163">
        <v>0</v>
      </c>
      <c r="G22" s="163">
        <v>0.1</v>
      </c>
      <c r="H22" s="163">
        <v>0.05</v>
      </c>
      <c r="I22" s="164">
        <v>3476.9</v>
      </c>
      <c r="J22" s="165">
        <v>3071</v>
      </c>
      <c r="K22" s="166">
        <f>IF(J22="-",0,I22*J22)</f>
        <v>10677559.9</v>
      </c>
      <c r="L22" s="167">
        <f>IF(H22="-","-",K22*H22)</f>
        <v>533877.995</v>
      </c>
      <c r="M22" s="168">
        <f>IF($H22="-","-",(($K22/(-0.8+1)*((1/(1-$H22))^(-0.8+1)-1))))</f>
        <v>550506.1226183788</v>
      </c>
      <c r="N22" s="168">
        <f>IF($H22="-","-",(($K22/(-1.2+1)*((1/(1-$H22))^(-1.2+1)-1))))</f>
        <v>544887.5369482861</v>
      </c>
      <c r="O22" s="57"/>
    </row>
    <row r="23" spans="1:15" ht="29.25">
      <c r="A23" s="85" t="s">
        <v>101</v>
      </c>
      <c r="B23" s="85" t="s">
        <v>102</v>
      </c>
      <c r="C23" s="86" t="s">
        <v>100</v>
      </c>
      <c r="D23" s="87" t="s">
        <v>48</v>
      </c>
      <c r="E23" s="88" t="s">
        <v>72</v>
      </c>
      <c r="F23" s="89">
        <v>0</v>
      </c>
      <c r="G23" s="89">
        <v>0.1</v>
      </c>
      <c r="H23" s="89">
        <v>0.05</v>
      </c>
      <c r="I23" s="90">
        <v>708.5</v>
      </c>
      <c r="J23" s="91">
        <f>19230+33</f>
        <v>19263</v>
      </c>
      <c r="K23" s="92">
        <f>IF(J23="-",0,I23*J23)</f>
        <v>13647835.5</v>
      </c>
      <c r="L23" s="93">
        <f>IF(H23="-","-",K23*H23)</f>
        <v>682391.775</v>
      </c>
      <c r="M23" s="94">
        <f>IF($H23="-","-",(($K23/(-0.8+1)*((1/(1-$H23))^(-0.8+1)-1))))</f>
        <v>703645.5026806699</v>
      </c>
      <c r="N23" s="94">
        <f>IF($H23="-","-",(($K23/(-1.2+1)*((1/(1-$H23))^(-1.2+1)-1))))</f>
        <v>696463.9430653421</v>
      </c>
      <c r="O23" s="57"/>
    </row>
    <row r="24" spans="1:15" ht="29.25">
      <c r="A24" s="85" t="s">
        <v>103</v>
      </c>
      <c r="B24" s="85" t="s">
        <v>104</v>
      </c>
      <c r="C24" s="86" t="s">
        <v>105</v>
      </c>
      <c r="D24" s="87" t="s">
        <v>48</v>
      </c>
      <c r="E24" s="88" t="s">
        <v>35</v>
      </c>
      <c r="F24" s="89">
        <v>0.4</v>
      </c>
      <c r="G24" s="89">
        <v>0.9</v>
      </c>
      <c r="H24" s="89">
        <v>0.65</v>
      </c>
      <c r="I24" s="90">
        <v>371.5</v>
      </c>
      <c r="J24" s="91">
        <v>3670</v>
      </c>
      <c r="K24" s="92">
        <f>IF(J24="-",0,I24*J24)</f>
        <v>1363405</v>
      </c>
      <c r="L24" s="93">
        <f>IF(H24="-","-",K24*H24)</f>
        <v>886213.25</v>
      </c>
      <c r="M24" s="94">
        <f>IF($H24="-","-",(($K24/(-0.8+1)*((1/(1-$H24))^(-0.8+1)-1))))</f>
        <v>1592689.9949007991</v>
      </c>
      <c r="N24" s="94">
        <f>IF($H24="-","-",(($K24/(-1.2+1)*((1/(1-$H24))^(-1.2+1)-1))))</f>
        <v>1291055.3471873861</v>
      </c>
      <c r="O24" s="57"/>
    </row>
    <row r="25" spans="1:15" ht="29.25">
      <c r="A25" s="85" t="s">
        <v>106</v>
      </c>
      <c r="B25" s="85" t="s">
        <v>107</v>
      </c>
      <c r="C25" s="86" t="s">
        <v>108</v>
      </c>
      <c r="D25" s="87" t="s">
        <v>48</v>
      </c>
      <c r="E25" s="88" t="s">
        <v>79</v>
      </c>
      <c r="F25" s="89">
        <v>0.1</v>
      </c>
      <c r="G25" s="89">
        <v>0.4</v>
      </c>
      <c r="H25" s="89">
        <v>0.25</v>
      </c>
      <c r="I25" s="90">
        <v>524.4</v>
      </c>
      <c r="J25" s="91">
        <v>5138</v>
      </c>
      <c r="K25" s="92">
        <f>IF(J25="-",0,I25*J25)</f>
        <v>2694367.1999999997</v>
      </c>
      <c r="L25" s="93">
        <f>IF(H25="-","-",K25*H25)</f>
        <v>673591.7999999999</v>
      </c>
      <c r="M25" s="94">
        <f>IF($H25="-","-",(($K25/(-0.8+1)*((1/(1-$H25))^(-0.8+1)-1))))</f>
        <v>797853.8738996658</v>
      </c>
      <c r="N25" s="94">
        <f>IF($H25="-","-",(($K25/(-1.2+1)*((1/(1-$H25))^(-1.2+1)-1))))</f>
        <v>753243.878186933</v>
      </c>
      <c r="O25" s="57"/>
    </row>
    <row r="26" spans="1:15" ht="16.5">
      <c r="A26" s="64" t="s">
        <v>109</v>
      </c>
      <c r="B26" s="64" t="s">
        <v>110</v>
      </c>
      <c r="C26" s="65" t="s">
        <v>111</v>
      </c>
      <c r="D26" s="66" t="s">
        <v>40</v>
      </c>
      <c r="E26" s="67" t="s">
        <v>79</v>
      </c>
      <c r="F26" s="68">
        <f>IF(E26="No aumenta",0,IF(E26="Pequeña",0,IF(E26="Moderada",0.1,IF(E26="Grande",0.4,IF(E26="Esencial",0.9,"-")))))</f>
        <v>0.1</v>
      </c>
      <c r="G26" s="68">
        <f>IF(E26="No aumenta",0,IF(E26="Pequeña",0.1,IF(E26="Moderada",0.4,IF(E26="Grande",0.9,IF(E26="Esencial",1,"-")))))</f>
        <v>0.4</v>
      </c>
      <c r="H26" s="68">
        <f>IF(F26="-","-",AVERAGE(F26:G26))</f>
        <v>0.25</v>
      </c>
      <c r="I26" s="69">
        <v>1167.4</v>
      </c>
      <c r="J26" s="70">
        <v>9719</v>
      </c>
      <c r="K26" s="71">
        <f>IF(J26="-",0,I26*J26)</f>
        <v>11345960.600000001</v>
      </c>
      <c r="L26" s="72">
        <f>IF(H26="-","-",K26*H26)</f>
        <v>2836490.1500000004</v>
      </c>
      <c r="M26" s="73">
        <f>IF($H26="-","-",(($K26/(-0.8+1)*((1/(1-$H26))^(-0.8+1)-1))))</f>
        <v>3359756.835602429</v>
      </c>
      <c r="N26" s="73">
        <f>IF($H26="-","-",(($K26/(-1.2+1)*((1/(1-$H26))^(-1.2+1)-1))))</f>
        <v>3171904.469479937</v>
      </c>
      <c r="O26" s="57"/>
    </row>
    <row r="27" spans="1:15" ht="42.75">
      <c r="A27" s="85" t="s">
        <v>112</v>
      </c>
      <c r="B27" s="85" t="s">
        <v>113</v>
      </c>
      <c r="C27" s="86" t="s">
        <v>114</v>
      </c>
      <c r="D27" s="87" t="s">
        <v>48</v>
      </c>
      <c r="E27" s="88" t="s">
        <v>62</v>
      </c>
      <c r="F27" s="89" t="s">
        <v>63</v>
      </c>
      <c r="G27" s="89" t="s">
        <v>63</v>
      </c>
      <c r="H27" s="89" t="s">
        <v>63</v>
      </c>
      <c r="I27" s="90">
        <v>1879.1</v>
      </c>
      <c r="J27" s="91">
        <v>2519</v>
      </c>
      <c r="K27" s="92">
        <f>IF(J27="-",0,I27*J27)</f>
        <v>4733452.899999999</v>
      </c>
      <c r="L27" s="93" t="str">
        <f>IF(H27="-","-",K27*H27)</f>
        <v>-</v>
      </c>
      <c r="M27" s="94" t="str">
        <f>IF($H27="-","-",(($K27/(-0.8+1)*((1/(1-$H27))^(-0.8+1)-1))))</f>
        <v>-</v>
      </c>
      <c r="N27" s="94" t="str">
        <f>IF($H27="-","-",(($K27/(-1.2+1)*((1/(1-$H27))^(-1.2+1)-1))))</f>
        <v>-</v>
      </c>
      <c r="O27" s="57"/>
    </row>
    <row r="28" spans="1:15" ht="16.5">
      <c r="A28" s="64" t="s">
        <v>118</v>
      </c>
      <c r="B28" s="64" t="s">
        <v>119</v>
      </c>
      <c r="C28" s="65" t="s">
        <v>120</v>
      </c>
      <c r="D28" s="66" t="s">
        <v>40</v>
      </c>
      <c r="E28" s="67" t="s">
        <v>68</v>
      </c>
      <c r="F28" s="68">
        <f>IF(E28="No aumenta",0,IF(E28="Pequeña",0,IF(E28="Moderada",0.1,IF(E28="Grande",0.4,IF(E28="Esencial",0.9,"-")))))</f>
        <v>0</v>
      </c>
      <c r="G28" s="68">
        <f>IF(E28="No aumenta",0,IF(E28="Pequeña",0.1,IF(E28="Moderada",0.4,IF(E28="Grande",0.9,IF(E28="Esencial",1,"-")))))</f>
        <v>0</v>
      </c>
      <c r="H28" s="68">
        <f>IF(F28="-","-",AVERAGE(F28:G28))</f>
        <v>0</v>
      </c>
      <c r="I28" s="69">
        <v>601</v>
      </c>
      <c r="J28" s="70">
        <f>578577+1839</f>
        <v>580416</v>
      </c>
      <c r="K28" s="71">
        <f>IF(J28="-",0,I28*J28)</f>
        <v>348830016</v>
      </c>
      <c r="L28" s="72">
        <f>IF(H28="-","-",K28*H28)</f>
        <v>0</v>
      </c>
      <c r="M28" s="73">
        <f>IF($H28="-","-",(($K28/(-0.8+1)*((1/(1-$H28))^(-0.8+1)-1))))</f>
        <v>0</v>
      </c>
      <c r="N28" s="73">
        <f>IF($H28="-","-",(($K28/(-1.2+1)*((1/(1-$H28))^(-1.2+1)-1))))</f>
        <v>0</v>
      </c>
      <c r="O28" s="57"/>
    </row>
    <row r="29" spans="1:15" ht="16.5">
      <c r="A29" s="64" t="s">
        <v>127</v>
      </c>
      <c r="B29" s="64" t="s">
        <v>128</v>
      </c>
      <c r="C29" s="65" t="s">
        <v>129</v>
      </c>
      <c r="D29" s="171" t="s">
        <v>40</v>
      </c>
      <c r="E29" s="67" t="s">
        <v>130</v>
      </c>
      <c r="F29" s="68">
        <f>IF(E29="No aumenta",0,IF(E29="Pequeña",0,IF(E29="Moderada",0.1,IF(E29="Grande",0.4,IF(E29="Esencial",0.9,"-")))))</f>
        <v>0.9</v>
      </c>
      <c r="G29" s="68">
        <f>IF(E29="No aumenta",0,IF(E29="Pequeña",0.1,IF(E29="Moderada",0.4,IF(E29="Grande",0.9,IF(E29="Esencial",1,"-")))))</f>
        <v>1</v>
      </c>
      <c r="H29" s="68">
        <f>IF(F29="-","-",AVERAGE(F29:G29))</f>
        <v>0.95</v>
      </c>
      <c r="I29" s="69">
        <v>706</v>
      </c>
      <c r="J29" s="70">
        <v>82</v>
      </c>
      <c r="K29" s="71">
        <f>IF(J29="-",0,I29*J29)</f>
        <v>57892</v>
      </c>
      <c r="L29" s="72">
        <f>IF(H29="-","-",K29*H29)</f>
        <v>54997.399999999994</v>
      </c>
      <c r="M29" s="73">
        <f>IF($H29="-","-",(($K29/(-0.8+1)*((1/(1-$H29))^(-0.8+1)-1))))</f>
        <v>237520.5142079291</v>
      </c>
      <c r="N29" s="73">
        <f>IF($H29="-","-",(($K29/(-1.2+1)*((1/(1-$H29))^(-1.2+1)-1))))</f>
        <v>130465.33256730555</v>
      </c>
      <c r="O29" s="57"/>
    </row>
    <row r="30" spans="1:15" ht="16.5">
      <c r="A30" s="134" t="s">
        <v>134</v>
      </c>
      <c r="B30" s="134" t="s">
        <v>135</v>
      </c>
      <c r="C30" s="135" t="s">
        <v>136</v>
      </c>
      <c r="D30" s="95" t="s">
        <v>50</v>
      </c>
      <c r="E30" s="136" t="s">
        <v>68</v>
      </c>
      <c r="F30" s="137">
        <v>0</v>
      </c>
      <c r="G30" s="137">
        <v>0</v>
      </c>
      <c r="H30" s="137">
        <v>0</v>
      </c>
      <c r="I30" s="138">
        <v>761.9</v>
      </c>
      <c r="J30" s="139">
        <v>29</v>
      </c>
      <c r="K30" s="140">
        <f>IF(J30="-",0,I30*J30)</f>
        <v>22095.1</v>
      </c>
      <c r="L30" s="141">
        <f>IF(H30="-","-",K30*H30)</f>
        <v>0</v>
      </c>
      <c r="M30" s="142">
        <f>IF($H30="-","-",(($K30/(-0.8+1)*((1/(1-$H30))^(-0.8+1)-1))))</f>
        <v>0</v>
      </c>
      <c r="N30" s="142">
        <f>IF($H30="-","-",(($K30/(-1.2+1)*((1/(1-$H30))^(-1.2+1)-1))))</f>
        <v>0</v>
      </c>
      <c r="O30" s="57"/>
    </row>
    <row r="31" spans="1:15" ht="42.75">
      <c r="A31" s="85" t="s">
        <v>137</v>
      </c>
      <c r="B31" s="85" t="s">
        <v>138</v>
      </c>
      <c r="C31" s="86" t="s">
        <v>139</v>
      </c>
      <c r="D31" s="87" t="s">
        <v>48</v>
      </c>
      <c r="E31" s="88" t="s">
        <v>49</v>
      </c>
      <c r="F31" s="89" t="str">
        <f>IF(E31="No aumenta",0,IF(E31="Pequeña",0,IF(E31="Moderada",0.1,IF(E31="Grande",0.4,IF(E31="Esencial",0.9,"-")))))</f>
        <v>-</v>
      </c>
      <c r="G31" s="89" t="str">
        <f>IF(E31="No aumenta",0,IF(E31="Pequeña",0.1,IF(E31="Moderada",0.4,IF(E31="Grande",0.9,IF(E31="Esencial",1,"-")))))</f>
        <v>-</v>
      </c>
      <c r="H31" s="89" t="str">
        <f>IF(F31="-","-",AVERAGE(F31:G31))</f>
        <v>-</v>
      </c>
      <c r="I31" s="90">
        <v>300</v>
      </c>
      <c r="J31" s="91">
        <v>1661</v>
      </c>
      <c r="K31" s="92">
        <f>IF(J31="-",0,I31*J31)</f>
        <v>498300</v>
      </c>
      <c r="L31" s="93" t="str">
        <f>IF(H31="-","-",K31*H31)</f>
        <v>-</v>
      </c>
      <c r="M31" s="94" t="str">
        <f>IF($H31="-","-",(($K31/(-0.8+1)*((1/(1-$H31))^(-0.8+1)-1))))</f>
        <v>-</v>
      </c>
      <c r="N31" s="94" t="str">
        <f>IF($H31="-","-",(($K31/(-1.2+1)*((1/(1-$H31))^(-1.2+1)-1))))</f>
        <v>-</v>
      </c>
      <c r="O31" s="57"/>
    </row>
    <row r="32" spans="1:15" ht="16.5">
      <c r="A32" s="134" t="s">
        <v>140</v>
      </c>
      <c r="B32" s="134" t="s">
        <v>141</v>
      </c>
      <c r="C32" s="172" t="s">
        <v>142</v>
      </c>
      <c r="D32" s="173" t="s">
        <v>50</v>
      </c>
      <c r="E32" s="137" t="s">
        <v>68</v>
      </c>
      <c r="F32" s="137">
        <v>0</v>
      </c>
      <c r="G32" s="137">
        <v>0</v>
      </c>
      <c r="H32" s="137">
        <v>0</v>
      </c>
      <c r="I32" s="138">
        <v>238.5</v>
      </c>
      <c r="J32" s="139">
        <v>1545</v>
      </c>
      <c r="K32" s="140">
        <f>IF(J32="-",0,I32*J32)</f>
        <v>368482.5</v>
      </c>
      <c r="L32" s="141">
        <f>IF(H32="-","-",K32*H32)</f>
        <v>0</v>
      </c>
      <c r="M32" s="142">
        <f>IF($H32="-","-",(($K32/(-0.8+1)*((1/(1-$H32))^(-0.8+1)-1))))</f>
        <v>0</v>
      </c>
      <c r="N32" s="142">
        <f>IF($H32="-","-",(($K32/(-1.2+1)*((1/(1-$H32))^(-1.2+1)-1))))</f>
        <v>0</v>
      </c>
      <c r="O32" s="57"/>
    </row>
    <row r="33" spans="1:15" ht="16.5">
      <c r="A33" s="119" t="s">
        <v>143</v>
      </c>
      <c r="B33" s="119" t="s">
        <v>144</v>
      </c>
      <c r="C33" s="120" t="s">
        <v>145</v>
      </c>
      <c r="D33" s="121" t="s">
        <v>36</v>
      </c>
      <c r="E33" s="122" t="s">
        <v>68</v>
      </c>
      <c r="F33" s="123">
        <v>0</v>
      </c>
      <c r="G33" s="123">
        <v>0</v>
      </c>
      <c r="H33" s="123">
        <v>0</v>
      </c>
      <c r="I33" s="124">
        <v>216.9</v>
      </c>
      <c r="J33" s="125">
        <v>661413</v>
      </c>
      <c r="K33" s="126">
        <f>IF(J33="-",0,I33*J33)</f>
        <v>143460479.70000002</v>
      </c>
      <c r="L33" s="127">
        <f>IF(H33="-","-",K33*H33)</f>
        <v>0</v>
      </c>
      <c r="M33" s="128">
        <f>IF($H33="-","-",(($K33/(-0.8+1)*((1/(1-$H33))^(-0.8+1)-1))))</f>
        <v>0</v>
      </c>
      <c r="N33" s="128">
        <f>IF($H33="-","-",(($K33/(-1.2+1)*((1/(1-$H33))^(-1.2+1)-1))))</f>
        <v>0</v>
      </c>
      <c r="O33" s="57"/>
    </row>
    <row r="34" spans="1:15" ht="16.5">
      <c r="A34" s="119" t="s">
        <v>149</v>
      </c>
      <c r="B34" s="119" t="s">
        <v>150</v>
      </c>
      <c r="C34" s="120" t="s">
        <v>151</v>
      </c>
      <c r="D34" s="121" t="s">
        <v>36</v>
      </c>
      <c r="E34" s="122" t="s">
        <v>68</v>
      </c>
      <c r="F34" s="123">
        <v>0</v>
      </c>
      <c r="G34" s="123">
        <v>0</v>
      </c>
      <c r="H34" s="123">
        <v>0</v>
      </c>
      <c r="I34" s="124">
        <v>181.5</v>
      </c>
      <c r="J34" s="125">
        <v>86484</v>
      </c>
      <c r="K34" s="126">
        <f>IF(J34="-",0,I34*J34)</f>
        <v>15696846</v>
      </c>
      <c r="L34" s="127">
        <f>IF(H34="-","-",K34*H34)</f>
        <v>0</v>
      </c>
      <c r="M34" s="128">
        <f>IF($H34="-","-",(($K34/(-0.8+1)*((1/(1-$H34))^(-0.8+1)-1))))</f>
        <v>0</v>
      </c>
      <c r="N34" s="128">
        <f>IF($H34="-","-",(($K34/(-1.2+1)*((1/(1-$H34))^(-1.2+1)-1))))</f>
        <v>0</v>
      </c>
      <c r="O34" s="57"/>
    </row>
    <row r="35" spans="1:15" ht="16.5">
      <c r="A35" s="174" t="s">
        <v>152</v>
      </c>
      <c r="B35" s="174" t="s">
        <v>153</v>
      </c>
      <c r="C35" s="175" t="s">
        <v>154</v>
      </c>
      <c r="D35" s="79" t="s">
        <v>44</v>
      </c>
      <c r="E35" s="176" t="s">
        <v>68</v>
      </c>
      <c r="F35" s="177">
        <f>IF(E35="No aumenta",0,IF(E35="Pequeña",0,IF(E35="Moderada",0.1,IF(E35="Grande",0.4,IF(E35="Esencial",0.9,"-")))))</f>
        <v>0</v>
      </c>
      <c r="G35" s="177">
        <f>IF(E35="No aumenta",0,IF(E35="Pequeña",0.1,IF(E35="Moderada",0.4,IF(E35="Grande",0.9,IF(E35="Esencial",1,"-")))))</f>
        <v>0</v>
      </c>
      <c r="H35" s="177">
        <f>IF(F35="-","-",AVERAGE(F35:G35))</f>
        <v>0</v>
      </c>
      <c r="I35" s="178">
        <v>396.6</v>
      </c>
      <c r="J35" s="179">
        <f>102809+285589</f>
        <v>388398</v>
      </c>
      <c r="K35" s="180">
        <f>IF(J35="-",0,I35*J35)</f>
        <v>154038646.8</v>
      </c>
      <c r="L35" s="181">
        <f>IF(H35="-","-",K35*H35)</f>
        <v>0</v>
      </c>
      <c r="M35" s="182">
        <f>IF($H35="-","-",(($K35/(-0.8+1)*((1/(1-$H35))^(-0.8+1)-1))))</f>
        <v>0</v>
      </c>
      <c r="N35" s="182">
        <f>IF($H35="-","-",(($K35/(-1.2+1)*((1/(1-$H35))^(-1.2+1)-1))))</f>
        <v>0</v>
      </c>
      <c r="O35" s="57"/>
    </row>
    <row r="36" spans="1:15" ht="42.75">
      <c r="A36" s="85" t="s">
        <v>158</v>
      </c>
      <c r="B36" s="85" t="s">
        <v>159</v>
      </c>
      <c r="C36" s="86" t="s">
        <v>157</v>
      </c>
      <c r="D36" s="87" t="s">
        <v>48</v>
      </c>
      <c r="E36" s="88" t="s">
        <v>49</v>
      </c>
      <c r="F36" s="89" t="s">
        <v>63</v>
      </c>
      <c r="G36" s="89" t="s">
        <v>63</v>
      </c>
      <c r="H36" s="89" t="s">
        <v>63</v>
      </c>
      <c r="I36" s="90">
        <v>174.9</v>
      </c>
      <c r="J36" s="91">
        <v>5638</v>
      </c>
      <c r="K36" s="92">
        <f>IF(J36="-",0,I36*J36)</f>
        <v>986086.2000000001</v>
      </c>
      <c r="L36" s="93" t="str">
        <f>IF(H36="-","-",K36*H36)</f>
        <v>-</v>
      </c>
      <c r="M36" s="94" t="str">
        <f>IF($H36="-","-",(($K36/(-0.8+1)*((1/(1-$H36))^(-0.8+1)-1))))</f>
        <v>-</v>
      </c>
      <c r="N36" s="94" t="str">
        <f>IF($H36="-","-",(($K36/(-1.2+1)*((1/(1-$H36))^(-1.2+1)-1))))</f>
        <v>-</v>
      </c>
      <c r="O36" s="57"/>
    </row>
    <row r="37" spans="1:15" ht="16.5">
      <c r="A37" s="64" t="s">
        <v>160</v>
      </c>
      <c r="B37" s="64" t="s">
        <v>161</v>
      </c>
      <c r="C37" s="65" t="s">
        <v>162</v>
      </c>
      <c r="D37" s="66" t="s">
        <v>40</v>
      </c>
      <c r="E37" s="67" t="s">
        <v>72</v>
      </c>
      <c r="F37" s="68">
        <v>0</v>
      </c>
      <c r="G37" s="68">
        <v>0.1</v>
      </c>
      <c r="H37" s="68">
        <v>0.05</v>
      </c>
      <c r="I37" s="69">
        <v>198.6</v>
      </c>
      <c r="J37" s="70">
        <v>849</v>
      </c>
      <c r="K37" s="71">
        <f>IF(J37="-",0,I37*J37)</f>
        <v>168611.4</v>
      </c>
      <c r="L37" s="72">
        <f>IF(H37="-","-",K37*H37)</f>
        <v>8430.57</v>
      </c>
      <c r="M37" s="73">
        <f>IF($H37="-","-",(($K37/(-0.8+1)*((1/(1-$H37))^(-0.8+1)-1))))</f>
        <v>8693.147958201247</v>
      </c>
      <c r="N37" s="73">
        <f>IF($H37="-","-",(($K37/(-1.2+1)*((1/(1-$H37))^(-1.2+1)-1))))</f>
        <v>8604.423792312533</v>
      </c>
      <c r="O37" s="57"/>
    </row>
    <row r="38" spans="1:15" ht="56.25">
      <c r="A38" s="85" t="s">
        <v>163</v>
      </c>
      <c r="B38" s="85" t="s">
        <v>164</v>
      </c>
      <c r="C38" s="86" t="s">
        <v>165</v>
      </c>
      <c r="D38" s="87" t="s">
        <v>48</v>
      </c>
      <c r="E38" s="88" t="s">
        <v>130</v>
      </c>
      <c r="F38" s="89">
        <f>IF(E38="No aumenta",0,IF(E38="Pequeña",0,IF(E38="Moderada",0.1,IF(E38="Grande",0.4,IF(E38="Esencial",0.9,"-")))))</f>
        <v>0.9</v>
      </c>
      <c r="G38" s="89">
        <f>IF(E38="No aumenta",0,IF(E38="Pequeña",0.1,IF(E38="Moderada",0.4,IF(E38="Grande",0.9,IF(E38="Esencial",1,"-")))))</f>
        <v>1</v>
      </c>
      <c r="H38" s="89">
        <f>IF(F38="-","-",AVERAGE(F38:G38))</f>
        <v>0.95</v>
      </c>
      <c r="I38" s="90">
        <v>259.9</v>
      </c>
      <c r="J38" s="91">
        <v>62630</v>
      </c>
      <c r="K38" s="92">
        <f>IF(J38="-",0,I38*J38)</f>
        <v>16277536.999999998</v>
      </c>
      <c r="L38" s="93">
        <f>IF(H38="-","-",K38*H38)</f>
        <v>15463660.149999997</v>
      </c>
      <c r="M38" s="94">
        <f>IF($H38="-","-",(($K38/(-0.8+1)*((1/(1-$H38))^(-0.8+1)-1))))</f>
        <v>66783820.878162645</v>
      </c>
      <c r="N38" s="94">
        <f>IF($H38="-","-",(($K38/(-1.2+1)*((1/(1-$H38))^(-1.2+1)-1))))</f>
        <v>36683035.27398641</v>
      </c>
      <c r="O38" s="57"/>
    </row>
    <row r="39" spans="1:15" ht="42.75">
      <c r="A39" s="64" t="s">
        <v>166</v>
      </c>
      <c r="B39" s="64" t="s">
        <v>167</v>
      </c>
      <c r="C39" s="65" t="s">
        <v>168</v>
      </c>
      <c r="D39" s="66" t="s">
        <v>40</v>
      </c>
      <c r="E39" s="67" t="s">
        <v>35</v>
      </c>
      <c r="F39" s="68">
        <v>0.4</v>
      </c>
      <c r="G39" s="68">
        <v>0.9</v>
      </c>
      <c r="H39" s="68">
        <v>0.65</v>
      </c>
      <c r="I39" s="69">
        <v>532.1</v>
      </c>
      <c r="J39" s="70">
        <f>64710+68390</f>
        <v>133100</v>
      </c>
      <c r="K39" s="71">
        <f>IF(J39="-",0,I39*J39)</f>
        <v>70822510</v>
      </c>
      <c r="L39" s="72">
        <f>IF(H39="-","-",K39*H39)</f>
        <v>46034631.5</v>
      </c>
      <c r="M39" s="73">
        <f>IF($H39="-","-",(($K39/(-0.8+1)*((1/(1-$H39))^(-0.8+1)-1))))</f>
        <v>82732792.59703593</v>
      </c>
      <c r="N39" s="73">
        <f>IF($H39="-","-",(($K39/(-1.2+1)*((1/(1-$H39))^(-1.2+1)-1))))</f>
        <v>67064284.08046921</v>
      </c>
      <c r="O39" s="57"/>
    </row>
    <row r="40" spans="1:15" ht="16.5">
      <c r="A40" s="64" t="s">
        <v>169</v>
      </c>
      <c r="B40" s="64" t="s">
        <v>170</v>
      </c>
      <c r="C40" s="65" t="s">
        <v>171</v>
      </c>
      <c r="D40" s="66" t="s">
        <v>40</v>
      </c>
      <c r="E40" s="67" t="s">
        <v>35</v>
      </c>
      <c r="F40" s="68">
        <v>0.4</v>
      </c>
      <c r="G40" s="68">
        <v>0.9</v>
      </c>
      <c r="H40" s="68">
        <v>0.65</v>
      </c>
      <c r="I40" s="69">
        <v>427.4</v>
      </c>
      <c r="J40" s="70">
        <v>25399</v>
      </c>
      <c r="K40" s="71">
        <f>IF(J40="-",0,I40*J40)</f>
        <v>10855532.6</v>
      </c>
      <c r="L40" s="72">
        <f>IF(H40="-","-",K40*H40)</f>
        <v>7056096.19</v>
      </c>
      <c r="M40" s="73">
        <f>IF($H40="-","-",(($K40/(-0.8+1)*((1/(1-$H40))^(-0.8+1)-1))))</f>
        <v>12681116.881146435</v>
      </c>
      <c r="N40" s="73">
        <f>IF($H40="-","-",(($K40/(-1.2+1)*((1/(1-$H40))^(-1.2+1)-1))))</f>
        <v>10279479.25216424</v>
      </c>
      <c r="O40" s="57"/>
    </row>
    <row r="41" spans="1:15" ht="29.25">
      <c r="A41" s="134" t="s">
        <v>172</v>
      </c>
      <c r="B41" s="134" t="s">
        <v>173</v>
      </c>
      <c r="C41" s="135" t="s">
        <v>174</v>
      </c>
      <c r="D41" s="95" t="s">
        <v>50</v>
      </c>
      <c r="E41" s="136" t="s">
        <v>68</v>
      </c>
      <c r="F41" s="137">
        <f>IF(E41="No aumenta",0,IF(E41="Pequeña",0,IF(E41="Moderada",0.1,IF(E41="Grande",0.4,IF(E41="Esencial",0.9,"-")))))</f>
        <v>0</v>
      </c>
      <c r="G41" s="137">
        <f>IF(E41="No aumenta",0,IF(E41="Pequeña",0.1,IF(E41="Moderada",0.4,IF(E41="Grande",0.9,IF(E41="Esencial",1,"-")))))</f>
        <v>0</v>
      </c>
      <c r="H41" s="137">
        <f>IF(F41="-","-",AVERAGE(F41:G41))</f>
        <v>0</v>
      </c>
      <c r="I41" s="138">
        <v>223.6</v>
      </c>
      <c r="J41" s="139">
        <v>24495</v>
      </c>
      <c r="K41" s="140">
        <f>IF(J41="-",0,I41*J41)</f>
        <v>5477082</v>
      </c>
      <c r="L41" s="141">
        <f>IF(H41="-","-",K41*H41)</f>
        <v>0</v>
      </c>
      <c r="M41" s="142">
        <f>IF($H41="-","-",(($K41/(-0.8+1)*((1/(1-$H41))^(-0.8+1)-1))))</f>
        <v>0</v>
      </c>
      <c r="N41" s="142">
        <f>IF($H41="-","-",(($K41/(-1.2+1)*((1/(1-$H41))^(-1.2+1)-1))))</f>
        <v>0</v>
      </c>
      <c r="O41" s="57"/>
    </row>
    <row r="42" spans="1:15" ht="29.25">
      <c r="A42" s="64" t="s">
        <v>177</v>
      </c>
      <c r="B42" s="64" t="s">
        <v>178</v>
      </c>
      <c r="C42" s="65" t="s">
        <v>179</v>
      </c>
      <c r="D42" s="66" t="s">
        <v>40</v>
      </c>
      <c r="E42" s="67" t="s">
        <v>35</v>
      </c>
      <c r="F42" s="68">
        <v>0.4</v>
      </c>
      <c r="G42" s="68">
        <v>0.9</v>
      </c>
      <c r="H42" s="68">
        <v>0.65</v>
      </c>
      <c r="I42" s="69">
        <v>471.3</v>
      </c>
      <c r="J42" s="70">
        <v>118964</v>
      </c>
      <c r="K42" s="71">
        <f>IF(J42="-",0,I42*J42)</f>
        <v>56067733.2</v>
      </c>
      <c r="L42" s="72">
        <f>IF(H42="-","-",K42*H42)</f>
        <v>36444026.580000006</v>
      </c>
      <c r="M42" s="73">
        <f>IF($H42="-","-",(($K42/(-0.8+1)*((1/(1-$H42))^(-0.8+1)-1))))</f>
        <v>65496692.25535139</v>
      </c>
      <c r="N42" s="73">
        <f>IF($H42="-","-",(($K42/(-1.2+1)*((1/(1-$H42))^(-1.2+1)-1))))</f>
        <v>53092475.64189345</v>
      </c>
      <c r="O42" s="57"/>
    </row>
    <row r="43" spans="1:15" ht="42.75">
      <c r="A43" s="183" t="s">
        <v>180</v>
      </c>
      <c r="B43" s="183" t="s">
        <v>181</v>
      </c>
      <c r="C43" s="184" t="s">
        <v>182</v>
      </c>
      <c r="D43" s="101" t="s">
        <v>54</v>
      </c>
      <c r="E43" s="185" t="s">
        <v>62</v>
      </c>
      <c r="F43" s="186" t="s">
        <v>63</v>
      </c>
      <c r="G43" s="186" t="s">
        <v>63</v>
      </c>
      <c r="H43" s="186" t="s">
        <v>63</v>
      </c>
      <c r="I43" s="187">
        <v>212.7</v>
      </c>
      <c r="J43" s="188">
        <v>38033</v>
      </c>
      <c r="K43" s="189">
        <f>IF(J43="-",0,I43*J43)</f>
        <v>8089619.1</v>
      </c>
      <c r="L43" s="190" t="str">
        <f>IF(H43="-","-",K43*H43)</f>
        <v>-</v>
      </c>
      <c r="M43" s="191" t="str">
        <f>IF($H43="-","-",(($K43/(-0.8+1)*((1/(1-$H43))^(-0.8+1)-1))))</f>
        <v>-</v>
      </c>
      <c r="N43" s="191" t="str">
        <f>IF($H43="-","-",(($K43/(-1.2+1)*((1/(1-$H43))^(-1.2+1)-1))))</f>
        <v>-</v>
      </c>
      <c r="O43" s="57"/>
    </row>
    <row r="44" spans="1:15" ht="42.75">
      <c r="A44" s="85" t="s">
        <v>251</v>
      </c>
      <c r="B44" s="85" t="s">
        <v>184</v>
      </c>
      <c r="C44" s="86" t="s">
        <v>185</v>
      </c>
      <c r="D44" s="87" t="s">
        <v>48</v>
      </c>
      <c r="E44" s="88" t="s">
        <v>130</v>
      </c>
      <c r="F44" s="89">
        <f>IF(E44="No aumenta",0,IF(E44="Pequeña",0,IF(E44="Moderada",0.1,IF(E44="Grande",0.4,IF(E44="Esencial",0.9,"-")))))</f>
        <v>0.9</v>
      </c>
      <c r="G44" s="89">
        <f>IF(E44="No aumenta",0,IF(E44="Pequeña",0.1,IF(E44="Moderada",0.4,IF(E44="Grande",0.9,IF(E44="Esencial",1,"-")))))</f>
        <v>1</v>
      </c>
      <c r="H44" s="89">
        <f>IF(F44="-","-",AVERAGE(F44:G44))</f>
        <v>0.95</v>
      </c>
      <c r="I44" s="90">
        <v>333.5</v>
      </c>
      <c r="J44" s="91">
        <f>872+3822</f>
        <v>4694</v>
      </c>
      <c r="K44" s="92">
        <f>IF(J44="-",0,I44*J44)</f>
        <v>1565449</v>
      </c>
      <c r="L44" s="93">
        <f>IF(H44="-","-",K44*H44)</f>
        <v>1487176.55</v>
      </c>
      <c r="M44" s="94">
        <f>IF($H44="-","-",(($K44/(-0.8+1)*((1/(1-$H44))^(-0.8+1)-1))))</f>
        <v>6422757.05531487</v>
      </c>
      <c r="N44" s="94">
        <f>IF($H44="-","-",(($K44/(-1.2+1)*((1/(1-$H44))^(-1.2+1)-1))))</f>
        <v>3527893.740104953</v>
      </c>
      <c r="O44" s="57"/>
    </row>
    <row r="45" spans="1:15" ht="16.5">
      <c r="A45" s="64" t="s">
        <v>186</v>
      </c>
      <c r="B45" s="64" t="s">
        <v>187</v>
      </c>
      <c r="C45" s="192" t="s">
        <v>188</v>
      </c>
      <c r="D45" s="66" t="s">
        <v>40</v>
      </c>
      <c r="E45" s="67" t="s">
        <v>35</v>
      </c>
      <c r="F45" s="68">
        <v>0.4</v>
      </c>
      <c r="G45" s="68">
        <v>0.9</v>
      </c>
      <c r="H45" s="68">
        <v>0.65</v>
      </c>
      <c r="I45" s="69">
        <v>316.1</v>
      </c>
      <c r="J45" s="70">
        <v>633</v>
      </c>
      <c r="K45" s="71">
        <f>IF(J45="-",0,I45*J45)</f>
        <v>200091.30000000002</v>
      </c>
      <c r="L45" s="72">
        <f>IF(H45="-","-",K45*H45)</f>
        <v>130059.34500000002</v>
      </c>
      <c r="M45" s="73">
        <f>IF($H45="-","-",(($K45/(-0.8+1)*((1/(1-$H45))^(-0.8+1)-1))))</f>
        <v>233740.82651647477</v>
      </c>
      <c r="N45" s="73">
        <f>IF($H45="-","-",(($K45/(-1.2+1)*((1/(1-$H45))^(-1.2+1)-1))))</f>
        <v>189473.3720286162</v>
      </c>
      <c r="O45" s="57"/>
    </row>
    <row r="46" spans="1:15" ht="16.5">
      <c r="A46" s="174" t="s">
        <v>189</v>
      </c>
      <c r="B46" s="174" t="s">
        <v>190</v>
      </c>
      <c r="C46" s="193" t="s">
        <v>191</v>
      </c>
      <c r="D46" s="79" t="s">
        <v>44</v>
      </c>
      <c r="E46" s="176" t="s">
        <v>79</v>
      </c>
      <c r="F46" s="177">
        <f>IF(E46="No aumenta",0,IF(E46="Pequeña",0,IF(E46="Moderada",0.1,IF(E46="Grande",0.4,IF(E46="Esencial",0.9,"-")))))</f>
        <v>0.1</v>
      </c>
      <c r="G46" s="177">
        <f>IF(E46="No aumenta",0,IF(E46="Pequeña",0.1,IF(E46="Moderada",0.4,IF(E46="Grande",0.9,IF(E46="Esencial",1,"-")))))</f>
        <v>0.4</v>
      </c>
      <c r="H46" s="177">
        <f>IF(F46="-","-",AVERAGE(F46:G46))</f>
        <v>0.25</v>
      </c>
      <c r="I46" s="178">
        <v>283.3</v>
      </c>
      <c r="J46" s="179">
        <v>113</v>
      </c>
      <c r="K46" s="180">
        <f>IF(J46="-",0,I46*J46)</f>
        <v>32012.9</v>
      </c>
      <c r="L46" s="181">
        <f>IF(H46="-","-",K46*H46)</f>
        <v>8003.225</v>
      </c>
      <c r="M46" s="182">
        <f>IF($H46="-","-",(($K46/(-0.8+1)*((1/(1-$H46))^(-0.8+1)-1))))</f>
        <v>9479.634505557598</v>
      </c>
      <c r="N46" s="182">
        <f>IF($H46="-","-",(($K46/(-1.2+1)*((1/(1-$H46))^(-1.2+1)-1))))</f>
        <v>8949.604548337164</v>
      </c>
      <c r="O46" s="57"/>
    </row>
    <row r="47" spans="1:15" ht="29.25">
      <c r="A47" s="64" t="s">
        <v>192</v>
      </c>
      <c r="B47" s="64" t="s">
        <v>193</v>
      </c>
      <c r="C47" s="192" t="s">
        <v>194</v>
      </c>
      <c r="D47" s="171" t="s">
        <v>40</v>
      </c>
      <c r="E47" s="68" t="s">
        <v>35</v>
      </c>
      <c r="F47" s="68">
        <v>0.4</v>
      </c>
      <c r="G47" s="68">
        <v>0.9</v>
      </c>
      <c r="H47" s="68">
        <v>0.65</v>
      </c>
      <c r="I47" s="69">
        <v>4404.7</v>
      </c>
      <c r="J47" s="70">
        <v>539</v>
      </c>
      <c r="K47" s="71">
        <f>IF(J47="-",0,I47*J47)</f>
        <v>2374133.3</v>
      </c>
      <c r="L47" s="72">
        <f>IF(H47="-","-",K47*H47)</f>
        <v>1543186.645</v>
      </c>
      <c r="M47" s="73">
        <f>IF($H47="-","-",(($K47/(-0.8+1)*((1/(1-$H47))^(-0.8+1)-1))))</f>
        <v>2773393.3449494587</v>
      </c>
      <c r="N47" s="73">
        <f>IF($H47="-","-",(($K47/(-1.2+1)*((1/(1-$H47))^(-1.2+1)-1))))</f>
        <v>2248148.929995588</v>
      </c>
      <c r="O47" s="57"/>
    </row>
    <row r="48" spans="1:15" ht="16.5">
      <c r="A48" s="119" t="s">
        <v>195</v>
      </c>
      <c r="B48" s="119" t="s">
        <v>196</v>
      </c>
      <c r="C48" s="120" t="s">
        <v>197</v>
      </c>
      <c r="D48" s="121" t="s">
        <v>36</v>
      </c>
      <c r="E48" s="194" t="s">
        <v>68</v>
      </c>
      <c r="F48" s="123">
        <v>0</v>
      </c>
      <c r="G48" s="123">
        <v>0</v>
      </c>
      <c r="H48" s="123">
        <v>0</v>
      </c>
      <c r="I48" s="124">
        <v>276.1</v>
      </c>
      <c r="J48" s="125">
        <v>213058</v>
      </c>
      <c r="K48" s="126">
        <f>IF(J48="-",0,I48*J48)</f>
        <v>58825313.800000004</v>
      </c>
      <c r="L48" s="127">
        <f>IF(H48="-","-",K48*H48)</f>
        <v>0</v>
      </c>
      <c r="M48" s="128">
        <f>IF($H48="-","-",(($K48/(-0.8+1)*((1/(1-$H48))^(-0.8+1)-1))))</f>
        <v>0</v>
      </c>
      <c r="N48" s="128">
        <f>IF($H48="-","-",(($K48/(-1.2+1)*((1/(1-$H48))^(-1.2+1)-1))))</f>
        <v>0</v>
      </c>
      <c r="O48" s="57"/>
    </row>
    <row r="49" spans="1:15" ht="16.5">
      <c r="A49" s="119" t="s">
        <v>198</v>
      </c>
      <c r="B49" s="119" t="s">
        <v>199</v>
      </c>
      <c r="C49" s="120" t="s">
        <v>200</v>
      </c>
      <c r="D49" s="121" t="s">
        <v>36</v>
      </c>
      <c r="E49" s="122" t="s">
        <v>68</v>
      </c>
      <c r="F49" s="123">
        <f>IF(E49="No aumenta",0,IF(E49="Pequeña",0,IF(E49="Moderada",0.1,IF(E49="Grande",0.4,IF(E49="Esencial",0.9,"-")))))</f>
        <v>0</v>
      </c>
      <c r="G49" s="123">
        <f>IF(E49="No aumenta",0,IF(E49="Pequeña",0.1,IF(E49="Moderada",0.4,IF(E49="Grande",0.9,IF(E49="Esencial",1,"-")))))</f>
        <v>0</v>
      </c>
      <c r="H49" s="123">
        <f>IF(F49="-","-",AVERAGE(F49:G49))</f>
        <v>0</v>
      </c>
      <c r="I49" s="124">
        <v>183.6</v>
      </c>
      <c r="J49" s="125">
        <v>477</v>
      </c>
      <c r="K49" s="126">
        <f>IF(J49="-",0,I49*J49)</f>
        <v>87577.2</v>
      </c>
      <c r="L49" s="127">
        <f>IF(H49="-","-",K49*H49)</f>
        <v>0</v>
      </c>
      <c r="M49" s="128">
        <f>IF($H49="-","-",(($K49/(-0.8+1)*((1/(1-$H49))^(-0.8+1)-1))))</f>
        <v>0</v>
      </c>
      <c r="N49" s="128">
        <f>IF($H49="-","-",(($K49/(-1.2+1)*((1/(1-$H49))^(-1.2+1)-1))))</f>
        <v>0</v>
      </c>
      <c r="O49" s="57"/>
    </row>
    <row r="50" spans="1:15" ht="16.5">
      <c r="A50" s="119" t="s">
        <v>207</v>
      </c>
      <c r="B50" s="119" t="s">
        <v>208</v>
      </c>
      <c r="C50" s="120" t="s">
        <v>209</v>
      </c>
      <c r="D50" s="121" t="s">
        <v>36</v>
      </c>
      <c r="E50" s="122" t="s">
        <v>68</v>
      </c>
      <c r="F50" s="123">
        <v>0</v>
      </c>
      <c r="G50" s="123">
        <v>0</v>
      </c>
      <c r="H50" s="123">
        <v>0</v>
      </c>
      <c r="I50" s="124">
        <v>200</v>
      </c>
      <c r="J50" s="125">
        <v>2772</v>
      </c>
      <c r="K50" s="126">
        <f>IF(J50="-",0,I50*J50)</f>
        <v>554400</v>
      </c>
      <c r="L50" s="127">
        <f>IF(H50="-","-",K50*H50)</f>
        <v>0</v>
      </c>
      <c r="M50" s="128">
        <f>IF($H50="-","-",(($K50/(-0.8+1)*((1/(1-$H50))^(-0.8+1)-1))))</f>
        <v>0</v>
      </c>
      <c r="N50" s="128">
        <f>IF($H50="-","-",(($K50/(-1.2+1)*((1/(1-$H50))^(-1.2+1)-1))))</f>
        <v>0</v>
      </c>
      <c r="O50" s="57"/>
    </row>
    <row r="51" spans="1:15" ht="16.5">
      <c r="A51" s="174" t="s">
        <v>210</v>
      </c>
      <c r="B51" s="174" t="s">
        <v>211</v>
      </c>
      <c r="C51" s="175" t="s">
        <v>212</v>
      </c>
      <c r="D51" s="79" t="s">
        <v>44</v>
      </c>
      <c r="E51" s="176" t="s">
        <v>79</v>
      </c>
      <c r="F51" s="177">
        <v>0.1</v>
      </c>
      <c r="G51" s="177">
        <v>0.4</v>
      </c>
      <c r="H51" s="177">
        <v>0.25</v>
      </c>
      <c r="I51" s="178">
        <v>336.1</v>
      </c>
      <c r="J51" s="179">
        <v>1051</v>
      </c>
      <c r="K51" s="180">
        <f>IF(J51="-",0,I51*J51)</f>
        <v>353241.10000000003</v>
      </c>
      <c r="L51" s="181">
        <f>IF(H51="-","-",K51*H51)</f>
        <v>88310.27500000001</v>
      </c>
      <c r="M51" s="182">
        <f>IF($H51="-","-",(($K51/(-0.8+1)*((1/(1-$H51))^(-0.8+1)-1))))</f>
        <v>104601.47379153786</v>
      </c>
      <c r="N51" s="182">
        <f>IF($H51="-","-",(($K51/(-1.2+1)*((1/(1-$H51))^(-1.2+1)-1))))</f>
        <v>98752.94506963203</v>
      </c>
      <c r="O51" s="57"/>
    </row>
    <row r="52" spans="1:15" ht="16.5">
      <c r="A52" s="85" t="s">
        <v>213</v>
      </c>
      <c r="B52" s="85" t="s">
        <v>214</v>
      </c>
      <c r="C52" s="86" t="s">
        <v>215</v>
      </c>
      <c r="D52" s="87" t="s">
        <v>48</v>
      </c>
      <c r="E52" s="88" t="s">
        <v>68</v>
      </c>
      <c r="F52" s="89">
        <v>0</v>
      </c>
      <c r="G52" s="89">
        <v>0</v>
      </c>
      <c r="H52" s="89">
        <v>0</v>
      </c>
      <c r="I52" s="90">
        <v>508.7</v>
      </c>
      <c r="J52" s="91">
        <v>10280</v>
      </c>
      <c r="K52" s="92">
        <f>IF(J52="-",0,I52*J52)</f>
        <v>5229436</v>
      </c>
      <c r="L52" s="93">
        <f>IF(H52="-","-",K52*H52)</f>
        <v>0</v>
      </c>
      <c r="M52" s="94">
        <f>IF($H52="-","-",(($K52/(-0.8+1)*((1/(1-$H52))^(-0.8+1)-1))))</f>
        <v>0</v>
      </c>
      <c r="N52" s="94">
        <f>IF($H52="-","-",(($K52/(-1.2+1)*((1/(1-$H52))^(-1.2+1)-1))))</f>
        <v>0</v>
      </c>
      <c r="O52" s="57"/>
    </row>
    <row r="53" spans="1:15" ht="16.5">
      <c r="A53" s="64" t="s">
        <v>216</v>
      </c>
      <c r="B53" s="64" t="s">
        <v>217</v>
      </c>
      <c r="C53" s="65" t="s">
        <v>218</v>
      </c>
      <c r="D53" s="66" t="s">
        <v>40</v>
      </c>
      <c r="E53" s="67" t="s">
        <v>79</v>
      </c>
      <c r="F53" s="68">
        <f>IF(E53="No aumenta",0,IF(E53="Pequeña",0,IF(E53="Moderada",0.1,IF(E53="Grande",0.4,IF(E53="Esencial",0.9,"-")))))</f>
        <v>0.1</v>
      </c>
      <c r="G53" s="68">
        <f>IF(E53="No aumenta",0,IF(E53="Pequeña",0.1,IF(E53="Moderada",0.4,IF(E53="Grande",0.9,IF(E53="Esencial",1,"-")))))</f>
        <v>0.4</v>
      </c>
      <c r="H53" s="68">
        <f>IF(F53="-","-",AVERAGE(F53:G53))</f>
        <v>0.25</v>
      </c>
      <c r="I53" s="69">
        <v>1310.8</v>
      </c>
      <c r="J53" s="70">
        <v>159</v>
      </c>
      <c r="K53" s="71">
        <f>IF(J53="-",0,I53*J53)</f>
        <v>208417.19999999998</v>
      </c>
      <c r="L53" s="72">
        <f>IF(H53="-","-",K53*H53)</f>
        <v>52104.299999999996</v>
      </c>
      <c r="M53" s="73">
        <f>IF($H53="-","-",(($K53/(-0.8+1)*((1/(1-$H53))^(-0.8+1)-1))))</f>
        <v>61716.33562319249</v>
      </c>
      <c r="N53" s="73">
        <f>IF($H53="-","-",(($K53/(-1.2+1)*((1/(1-$H53))^(-1.2+1)-1))))</f>
        <v>58265.62170474078</v>
      </c>
      <c r="O53" s="57"/>
    </row>
    <row r="54" spans="1:13" s="1" customFormat="1" ht="29.25">
      <c r="A54" s="197" t="s">
        <v>219</v>
      </c>
      <c r="B54" s="197" t="s">
        <v>220</v>
      </c>
      <c r="C54" s="198" t="s">
        <v>221</v>
      </c>
      <c r="D54" s="113" t="s">
        <v>64</v>
      </c>
      <c r="E54" s="199" t="s">
        <v>68</v>
      </c>
      <c r="F54" s="200">
        <f>IF(E54="No aumenta",0,IF(E54="Pequeña",0,IF(E54="Moderada",0.1,IF(E54="Grande",0.4,IF(E54="Esencial",0.9,"-")))))</f>
        <v>0</v>
      </c>
      <c r="G54" s="200">
        <f>IF(E54="No aumenta",0,IF(E54="Pequeña",0.1,IF(E54="Moderada",0.4,IF(E54="Grande",0.9,IF(E54="Esencial",1,"-")))))</f>
        <v>0</v>
      </c>
      <c r="H54" s="200">
        <f>IF(F54="-","-",AVERAGE(F54:G54))</f>
        <v>0</v>
      </c>
      <c r="I54" s="201">
        <v>31.2</v>
      </c>
      <c r="J54" s="202">
        <v>270</v>
      </c>
      <c r="K54" s="203">
        <f>IF(J54="-",0,I54*J54)</f>
        <v>8424</v>
      </c>
      <c r="L54" s="204">
        <f>IF($H54="-","-",(($K54/(-0.8+1)*((1/(1-$H54))^(-0.8+1)-1))))</f>
        <v>0</v>
      </c>
      <c r="M54" s="57"/>
    </row>
    <row r="55" spans="1:15" ht="29.25">
      <c r="A55" s="174" t="s">
        <v>222</v>
      </c>
      <c r="B55" s="174" t="s">
        <v>223</v>
      </c>
      <c r="C55" s="175" t="s">
        <v>224</v>
      </c>
      <c r="D55" s="79" t="s">
        <v>44</v>
      </c>
      <c r="E55" s="176" t="s">
        <v>79</v>
      </c>
      <c r="F55" s="177">
        <v>0.1</v>
      </c>
      <c r="G55" s="177">
        <v>0.4</v>
      </c>
      <c r="H55" s="177">
        <v>0.25</v>
      </c>
      <c r="I55" s="178">
        <v>380.1</v>
      </c>
      <c r="J55" s="179">
        <v>30224</v>
      </c>
      <c r="K55" s="180">
        <f>IF(J55="-",0,I55*J55)</f>
        <v>11488142.4</v>
      </c>
      <c r="L55" s="181">
        <f>IF(H55="-","-",K55*H55)</f>
        <v>2872035.6</v>
      </c>
      <c r="M55" s="182">
        <f>IF($H55="-","-",(($K55/(-0.8+1)*((1/(1-$H55))^(-0.8+1)-1))))</f>
        <v>3401859.597218599</v>
      </c>
      <c r="N55" s="182">
        <f>IF($H55="-","-",(($K55/(-1.2+1)*((1/(1-$H55))^(-1.2+1)-1))))</f>
        <v>3211653.160912789</v>
      </c>
      <c r="O55" s="57"/>
    </row>
    <row r="56" spans="1:15" ht="42.75">
      <c r="A56" s="183" t="s">
        <v>225</v>
      </c>
      <c r="B56" s="183" t="s">
        <v>226</v>
      </c>
      <c r="C56" s="184" t="s">
        <v>227</v>
      </c>
      <c r="D56" s="101" t="s">
        <v>54</v>
      </c>
      <c r="E56" s="185" t="s">
        <v>62</v>
      </c>
      <c r="F56" s="186" t="s">
        <v>63</v>
      </c>
      <c r="G56" s="186" t="s">
        <v>63</v>
      </c>
      <c r="H56" s="186" t="s">
        <v>63</v>
      </c>
      <c r="I56" s="187">
        <v>491.4</v>
      </c>
      <c r="J56" s="188">
        <v>360</v>
      </c>
      <c r="K56" s="189">
        <f>IF(J56="-",0,I56*J56)</f>
        <v>176904</v>
      </c>
      <c r="L56" s="190" t="str">
        <f>IF(H56="-","-",K56*H56)</f>
        <v>-</v>
      </c>
      <c r="M56" s="191" t="str">
        <f>IF($H56="-","-",(($K56/(-0.8+1)*((1/(1-$H56))^(-0.8+1)-1))))</f>
        <v>-</v>
      </c>
      <c r="N56" s="191" t="str">
        <f>IF($H56="-","-",(($K56/(-1.2+1)*((1/(1-$H56))^(-1.2+1)-1))))</f>
        <v>-</v>
      </c>
      <c r="O56" s="57"/>
    </row>
    <row r="57" spans="1:15" ht="96">
      <c r="A57" s="64" t="s">
        <v>228</v>
      </c>
      <c r="B57" s="64" t="s">
        <v>229</v>
      </c>
      <c r="C57" s="65" t="s">
        <v>230</v>
      </c>
      <c r="D57" s="66" t="s">
        <v>40</v>
      </c>
      <c r="E57" s="67" t="s">
        <v>72</v>
      </c>
      <c r="F57" s="68">
        <v>0</v>
      </c>
      <c r="G57" s="68">
        <v>0.1</v>
      </c>
      <c r="H57" s="68">
        <v>0.05</v>
      </c>
      <c r="I57" s="69">
        <v>240.6</v>
      </c>
      <c r="J57" s="70">
        <v>145</v>
      </c>
      <c r="K57" s="71">
        <f>IF(J57="-",0,I57*J57)</f>
        <v>34887</v>
      </c>
      <c r="L57" s="72">
        <f>IF(H57="-","-",K57*H57)</f>
        <v>1744.3500000000001</v>
      </c>
      <c r="M57" s="73">
        <f>IF($H57="-","-",(($K57/(-0.8+1)*((1/(1-$H57))^(-0.8+1)-1))))</f>
        <v>1798.679406124182</v>
      </c>
      <c r="N57" s="73">
        <f>IF($H57="-","-",(($K57/(-1.2+1)*((1/(1-$H57))^(-1.2+1)-1))))</f>
        <v>1780.3216914301604</v>
      </c>
      <c r="O57" s="57"/>
    </row>
    <row r="58" spans="1:15" ht="16.5">
      <c r="A58" s="85" t="s">
        <v>231</v>
      </c>
      <c r="B58" s="85" t="s">
        <v>232</v>
      </c>
      <c r="C58" s="86" t="s">
        <v>233</v>
      </c>
      <c r="D58" s="87" t="s">
        <v>48</v>
      </c>
      <c r="E58" s="88" t="s">
        <v>72</v>
      </c>
      <c r="F58" s="89">
        <v>0</v>
      </c>
      <c r="G58" s="89">
        <v>0.1</v>
      </c>
      <c r="H58" s="89">
        <v>0.05</v>
      </c>
      <c r="I58" s="90">
        <v>440.6</v>
      </c>
      <c r="J58" s="91">
        <v>1275368</v>
      </c>
      <c r="K58" s="92">
        <f>IF(J58="-",0,I58*J58)</f>
        <v>561927140.8000001</v>
      </c>
      <c r="L58" s="93">
        <f>IF(H58="-","-",K58*H58)</f>
        <v>28096357.040000007</v>
      </c>
      <c r="M58" s="94">
        <f>IF($H58="-","-",(($K58/(-0.8+1)*((1/(1-$H58))^(-0.8+1)-1))))</f>
        <v>28971444.260016732</v>
      </c>
      <c r="N58" s="94">
        <f>IF($H58="-","-",(($K58/(-1.2+1)*((1/(1-$H58))^(-1.2+1)-1))))</f>
        <v>28675755.375055753</v>
      </c>
      <c r="O58" s="57"/>
    </row>
    <row r="59" spans="1:15" ht="29.25">
      <c r="A59" s="47" t="s">
        <v>234</v>
      </c>
      <c r="B59" s="47" t="s">
        <v>235</v>
      </c>
      <c r="C59" s="48" t="s">
        <v>236</v>
      </c>
      <c r="D59" s="49" t="s">
        <v>34</v>
      </c>
      <c r="E59" s="50" t="s">
        <v>68</v>
      </c>
      <c r="F59" s="51" t="s">
        <v>63</v>
      </c>
      <c r="G59" s="51" t="s">
        <v>63</v>
      </c>
      <c r="H59" s="51" t="s">
        <v>63</v>
      </c>
      <c r="I59" s="157">
        <v>2087.7</v>
      </c>
      <c r="J59" s="158">
        <v>1517</v>
      </c>
      <c r="K59" s="54">
        <f>IF(J59="-",0,I59*J59)</f>
        <v>3167040.9</v>
      </c>
      <c r="L59" s="55" t="str">
        <f>IF(H59="-","-",K59*H59)</f>
        <v>-</v>
      </c>
      <c r="M59" s="56" t="str">
        <f>IF($H59="-","-",(($K59/(-0.8+1)*((1/(1-$H59))^(-0.8+1)-1))))</f>
        <v>-</v>
      </c>
      <c r="N59" s="56" t="str">
        <f>IF($H59="-","-",(($K59/(-1.2+1)*((1/(1-$H59))^(-1.2+1)-1))))</f>
        <v>-</v>
      </c>
      <c r="O59" s="57"/>
    </row>
    <row r="60" spans="1:15" ht="16.5">
      <c r="A60" s="85" t="s">
        <v>237</v>
      </c>
      <c r="B60" s="85" t="s">
        <v>238</v>
      </c>
      <c r="C60" s="86" t="s">
        <v>239</v>
      </c>
      <c r="D60" s="87" t="s">
        <v>48</v>
      </c>
      <c r="E60" s="88" t="s">
        <v>130</v>
      </c>
      <c r="F60" s="89">
        <v>0.9</v>
      </c>
      <c r="G60" s="89">
        <v>1</v>
      </c>
      <c r="H60" s="89">
        <v>0.95</v>
      </c>
      <c r="I60" s="90">
        <v>243.3</v>
      </c>
      <c r="J60" s="91">
        <v>17190</v>
      </c>
      <c r="K60" s="92">
        <f>IF(J60="-",0,I60*J60)</f>
        <v>4182327</v>
      </c>
      <c r="L60" s="93">
        <f>IF(H60="-","-",K60*H60)</f>
        <v>3973210.65</v>
      </c>
      <c r="M60" s="94">
        <f>IF($H60="-","-",(($K60/(-0.8+1)*((1/(1-$H60))^(-0.8+1)-1))))</f>
        <v>17159339.10774728</v>
      </c>
      <c r="N60" s="94">
        <f>IF($H60="-","-",(($K60/(-1.2+1)*((1/(1-$H60))^(-1.2+1)-1))))</f>
        <v>9425286.446490385</v>
      </c>
      <c r="O60" s="57"/>
    </row>
    <row r="61" spans="1:15" ht="29.25">
      <c r="A61" s="119" t="s">
        <v>240</v>
      </c>
      <c r="B61" s="119" t="s">
        <v>241</v>
      </c>
      <c r="C61" s="120" t="s">
        <v>242</v>
      </c>
      <c r="D61" s="121" t="s">
        <v>36</v>
      </c>
      <c r="E61" s="122" t="s">
        <v>68</v>
      </c>
      <c r="F61" s="123">
        <v>0</v>
      </c>
      <c r="G61" s="123">
        <v>0</v>
      </c>
      <c r="H61" s="123">
        <v>0</v>
      </c>
      <c r="I61" s="124">
        <v>230.1</v>
      </c>
      <c r="J61" s="125">
        <v>199173</v>
      </c>
      <c r="K61" s="126">
        <f>IF(J61="-",0,I61*J61)</f>
        <v>45829707.3</v>
      </c>
      <c r="L61" s="127">
        <f>IF(H61="-","-",K61*H61)</f>
        <v>0</v>
      </c>
      <c r="M61" s="128">
        <f>IF($H61="-","-",(($K61/(-0.8+1)*((1/(1-$H61))^(-0.8+1)-1))))</f>
        <v>0</v>
      </c>
      <c r="N61" s="128">
        <f>IF($H61="-","-",(($K61/(-1.2+1)*((1/(1-$H61))^(-1.2+1)-1))))</f>
        <v>0</v>
      </c>
      <c r="O61" s="57"/>
    </row>
    <row r="62" spans="1:14" ht="16.5">
      <c r="A62" s="2"/>
      <c r="I62" s="205"/>
      <c r="J62" s="206"/>
      <c r="K62" s="207"/>
      <c r="L62" s="208"/>
      <c r="M62" s="209"/>
      <c r="N62" s="209"/>
    </row>
    <row r="63" spans="1:14" ht="30" customHeight="1">
      <c r="A63" s="210" t="s">
        <v>243</v>
      </c>
      <c r="B63" s="210" t="s">
        <v>248</v>
      </c>
      <c r="C63" s="210"/>
      <c r="D63" s="210"/>
      <c r="E63" s="210"/>
      <c r="F63" s="211">
        <f>AVERAGE(F9:F61)</f>
        <v>0.19090909090909092</v>
      </c>
      <c r="G63" s="211">
        <f>AVERAGE(G9:G61)</f>
        <v>0.3840909090909091</v>
      </c>
      <c r="H63" s="211">
        <f>AVERAGE(H9:H61)</f>
        <v>0.28750000000000003</v>
      </c>
      <c r="I63" s="212">
        <f>AVERAGE(I9:I61)</f>
        <v>703.9415094339621</v>
      </c>
      <c r="J63" s="213">
        <f>AVERAGE(J9:J61)</f>
        <v>77454</v>
      </c>
      <c r="K63" s="214">
        <f>SUM(K9:K61)</f>
        <v>1662243416.4</v>
      </c>
      <c r="L63" s="215">
        <f>SUM(L9:L61)</f>
        <v>183538929.86</v>
      </c>
      <c r="M63" s="216">
        <f>SUM(M9:M61)</f>
        <v>355432178.60232633</v>
      </c>
      <c r="N63" s="216">
        <f>SUM(N9:N61)</f>
        <v>271111716.0728532</v>
      </c>
    </row>
  </sheetData>
  <sheetProtection selectLockedCells="1" selectUnlockedCells="1"/>
  <mergeCells count="10">
    <mergeCell ref="A2:N2"/>
    <mergeCell ref="A3:N3"/>
    <mergeCell ref="P3:V3"/>
    <mergeCell ref="F4:H4"/>
    <mergeCell ref="I4:N4"/>
    <mergeCell ref="M5:N5"/>
    <mergeCell ref="U5:V5"/>
    <mergeCell ref="B6:D6"/>
    <mergeCell ref="E6:H6"/>
    <mergeCell ref="A63:E6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L74"/>
  <sheetViews>
    <sheetView zoomScale="90" zoomScaleNormal="90" workbookViewId="0" topLeftCell="A4">
      <selection activeCell="A9" sqref="A9:A63"/>
    </sheetView>
  </sheetViews>
  <sheetFormatPr defaultColWidth="11.00390625" defaultRowHeight="12.75"/>
  <cols>
    <col min="1" max="1" width="10.75390625" style="1" customWidth="1"/>
    <col min="2" max="2" width="14.00390625" style="2" customWidth="1"/>
    <col min="3" max="3" width="40.75390625" style="3" customWidth="1"/>
    <col min="4" max="4" width="12.75390625" style="1" customWidth="1"/>
    <col min="5" max="5" width="11.75390625" style="4" customWidth="1"/>
    <col min="6" max="8" width="10.75390625" style="4" customWidth="1"/>
    <col min="9" max="9" width="14.625" style="1" customWidth="1"/>
    <col min="10" max="10" width="14.00390625" style="1" customWidth="1"/>
    <col min="11" max="11" width="16.875" style="5" customWidth="1"/>
    <col min="12" max="12" width="15.75390625" style="6" customWidth="1"/>
    <col min="13" max="14" width="15.75390625" style="7" customWidth="1"/>
    <col min="15" max="15" width="10.75390625" style="1" customWidth="1"/>
    <col min="16" max="16" width="12.375" style="1" customWidth="1"/>
    <col min="17" max="17" width="14.125" style="1" customWidth="1"/>
    <col min="18" max="18" width="24.75390625" style="1" customWidth="1"/>
    <col min="19" max="19" width="21.25390625" style="1" customWidth="1"/>
    <col min="20" max="20" width="14.125" style="1" customWidth="1"/>
    <col min="21" max="22" width="18.75390625" style="1" customWidth="1"/>
    <col min="23" max="245" width="10.75390625" style="1" customWidth="1"/>
    <col min="246" max="16384" width="10.75390625" style="0" customWidth="1"/>
  </cols>
  <sheetData>
    <row r="1" spans="2:14" s="8" customFormat="1" ht="12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36.75" customHeight="1">
      <c r="A2" s="9" t="s">
        <v>286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2" s="11" customFormat="1" ht="60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12" t="s">
        <v>2</v>
      </c>
      <c r="Q3" s="12"/>
      <c r="R3" s="12"/>
      <c r="S3" s="12"/>
      <c r="T3" s="12"/>
      <c r="U3" s="12"/>
      <c r="V3" s="12"/>
    </row>
    <row r="4" spans="6:246" ht="61.5" customHeight="1">
      <c r="F4" s="13" t="s">
        <v>3</v>
      </c>
      <c r="G4" s="13"/>
      <c r="H4" s="13"/>
      <c r="I4" s="14" t="s">
        <v>4</v>
      </c>
      <c r="J4" s="14"/>
      <c r="K4" s="14"/>
      <c r="L4" s="14"/>
      <c r="M4" s="14"/>
      <c r="N4" s="14"/>
      <c r="IL4" s="1"/>
    </row>
    <row r="5" spans="1:246" ht="78.75" customHeight="1">
      <c r="A5" s="15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8" t="s">
        <v>11</v>
      </c>
      <c r="H5" s="17" t="s">
        <v>12</v>
      </c>
      <c r="I5" s="19" t="s">
        <v>13</v>
      </c>
      <c r="J5" s="19" t="s">
        <v>14</v>
      </c>
      <c r="K5" s="20" t="s">
        <v>15</v>
      </c>
      <c r="L5" s="21" t="s">
        <v>16</v>
      </c>
      <c r="M5" s="22" t="s">
        <v>17</v>
      </c>
      <c r="N5" s="22"/>
      <c r="P5" s="16" t="s">
        <v>8</v>
      </c>
      <c r="Q5" s="23" t="s">
        <v>18</v>
      </c>
      <c r="R5" s="20" t="s">
        <v>15</v>
      </c>
      <c r="S5" s="21" t="s">
        <v>16</v>
      </c>
      <c r="T5" s="24" t="s">
        <v>19</v>
      </c>
      <c r="U5" s="22" t="s">
        <v>17</v>
      </c>
      <c r="V5" s="22"/>
      <c r="IL5" s="1"/>
    </row>
    <row r="6" spans="1:246" ht="47.25" customHeight="1">
      <c r="A6" s="25"/>
      <c r="B6" s="26" t="s">
        <v>20</v>
      </c>
      <c r="C6" s="26"/>
      <c r="D6" s="26"/>
      <c r="E6" s="27" t="s">
        <v>21</v>
      </c>
      <c r="F6" s="27"/>
      <c r="G6" s="27"/>
      <c r="H6" s="27"/>
      <c r="I6" s="28" t="s">
        <v>20</v>
      </c>
      <c r="J6" s="28" t="s">
        <v>22</v>
      </c>
      <c r="K6" s="29" t="s">
        <v>23</v>
      </c>
      <c r="L6" s="30" t="s">
        <v>24</v>
      </c>
      <c r="M6" s="31">
        <v>-0.8</v>
      </c>
      <c r="N6" s="31">
        <v>-1.2</v>
      </c>
      <c r="P6" s="32"/>
      <c r="Q6" s="33" t="s">
        <v>25</v>
      </c>
      <c r="R6" s="29" t="s">
        <v>23</v>
      </c>
      <c r="S6" s="30" t="s">
        <v>26</v>
      </c>
      <c r="T6" s="34" t="s">
        <v>27</v>
      </c>
      <c r="U6" s="31">
        <v>-0.8</v>
      </c>
      <c r="V6" s="31">
        <v>-1.2</v>
      </c>
      <c r="IL6" s="1"/>
    </row>
    <row r="7" spans="2:246" ht="27.75" customHeight="1">
      <c r="B7" s="35"/>
      <c r="C7" s="36"/>
      <c r="D7" s="37"/>
      <c r="E7" s="38"/>
      <c r="F7" s="39"/>
      <c r="G7" s="39"/>
      <c r="H7" s="39"/>
      <c r="I7" s="19" t="s">
        <v>28</v>
      </c>
      <c r="J7" s="19" t="s">
        <v>29</v>
      </c>
      <c r="K7" s="40" t="s">
        <v>30</v>
      </c>
      <c r="L7" s="41" t="s">
        <v>30</v>
      </c>
      <c r="M7" s="42" t="s">
        <v>30</v>
      </c>
      <c r="N7" s="42" t="s">
        <v>30</v>
      </c>
      <c r="P7" s="43"/>
      <c r="Q7" s="19"/>
      <c r="R7" s="40"/>
      <c r="S7" s="41"/>
      <c r="T7" s="44"/>
      <c r="U7" s="42"/>
      <c r="V7" s="42"/>
      <c r="IL7" s="1"/>
    </row>
    <row r="8" spans="2:246" ht="16.5">
      <c r="B8" s="35"/>
      <c r="C8" s="36"/>
      <c r="D8" s="37"/>
      <c r="E8" s="38"/>
      <c r="F8" s="39"/>
      <c r="G8" s="39"/>
      <c r="H8" s="39"/>
      <c r="I8" s="19"/>
      <c r="J8" s="19"/>
      <c r="K8" s="40"/>
      <c r="L8" s="41"/>
      <c r="M8" s="42"/>
      <c r="N8" s="42"/>
      <c r="P8" s="43"/>
      <c r="Q8" s="43"/>
      <c r="R8" s="40"/>
      <c r="S8" s="45"/>
      <c r="T8" s="44"/>
      <c r="U8" s="46"/>
      <c r="V8" s="46"/>
      <c r="IL8" s="1"/>
    </row>
    <row r="9" spans="1:22" ht="29.25">
      <c r="A9" s="47" t="s">
        <v>31</v>
      </c>
      <c r="B9" s="47" t="s">
        <v>32</v>
      </c>
      <c r="C9" s="48" t="s">
        <v>33</v>
      </c>
      <c r="D9" s="49" t="s">
        <v>34</v>
      </c>
      <c r="E9" s="50" t="s">
        <v>35</v>
      </c>
      <c r="F9" s="51">
        <v>0.4</v>
      </c>
      <c r="G9" s="51">
        <v>0.9</v>
      </c>
      <c r="H9" s="51">
        <v>0.65</v>
      </c>
      <c r="I9" s="52">
        <v>687.9</v>
      </c>
      <c r="J9" s="53">
        <v>35301</v>
      </c>
      <c r="K9" s="54">
        <f>IF(J9="-",0,I9*J9)</f>
        <v>24283557.9</v>
      </c>
      <c r="L9" s="55">
        <f>IF(H9="-","-",$K9*H9)</f>
        <v>15784312.635</v>
      </c>
      <c r="M9" s="56">
        <f>IF($H9="-","-",(($K9/(-0.8+1)*((1/(1-$H9))^(-0.8+1)-1))))</f>
        <v>28367344.778641894</v>
      </c>
      <c r="N9" s="56">
        <f>IF($H9="-","-",(($K9/(-1.2+1)*((1/(1-$H9))^(-1.2+1)-1))))</f>
        <v>22994940.81034578</v>
      </c>
      <c r="O9" s="57"/>
      <c r="P9" s="58" t="s">
        <v>36</v>
      </c>
      <c r="Q9" s="59">
        <f>SUMIF($D$9:$D$72,$P9,$K$9:$K$72)/SUMIF($D$9:$D$72,$P9,$J$9:$J$72)</f>
        <v>226.29010694244596</v>
      </c>
      <c r="R9" s="217">
        <f>SUMIF($D$9:$D$72,$P9,$K$9:$K$72)</f>
        <v>494276202.70000005</v>
      </c>
      <c r="S9" s="218">
        <f>SUMIF($D$9:$D$72,$P9,$L$9:$L$72)</f>
        <v>0</v>
      </c>
      <c r="T9" s="62">
        <f>IF(R9=0,"-",S9/R9)</f>
        <v>0</v>
      </c>
      <c r="U9" s="219">
        <f>SUMIF($D$9:$D$72,$P9,$M$9:$M$72)</f>
        <v>0</v>
      </c>
      <c r="V9" s="219">
        <f>SUMIF($D$9:$D$72,$P9,$N$9:$N$72)</f>
        <v>0</v>
      </c>
    </row>
    <row r="10" spans="1:22" ht="16.5">
      <c r="A10" s="64" t="s">
        <v>37</v>
      </c>
      <c r="B10" s="64" t="s">
        <v>38</v>
      </c>
      <c r="C10" s="65" t="s">
        <v>39</v>
      </c>
      <c r="D10" s="66" t="s">
        <v>40</v>
      </c>
      <c r="E10" s="67" t="s">
        <v>35</v>
      </c>
      <c r="F10" s="68">
        <v>0.4</v>
      </c>
      <c r="G10" s="68">
        <v>0.9</v>
      </c>
      <c r="H10" s="68">
        <v>0.65</v>
      </c>
      <c r="I10" s="69">
        <v>342.2</v>
      </c>
      <c r="J10" s="70">
        <v>8991</v>
      </c>
      <c r="K10" s="71">
        <f>IF(J10="-",0,I10*J10)</f>
        <v>3076720.1999999997</v>
      </c>
      <c r="L10" s="72">
        <f>IF(H10="-","-",K10*H10)</f>
        <v>1999868.13</v>
      </c>
      <c r="M10" s="73">
        <f>IF($H10="-","-",(($K10/(-0.8+1)*((1/(1-$H10))^(-0.8+1)-1))))</f>
        <v>3594134.889962399</v>
      </c>
      <c r="N10" s="73">
        <f>IF($H10="-","-",(($K10/(-1.2+1)*((1/(1-$H10))^(-1.2+1)-1))))</f>
        <v>2913452.7642259225</v>
      </c>
      <c r="O10" s="57"/>
      <c r="P10" s="66" t="s">
        <v>40</v>
      </c>
      <c r="Q10" s="74">
        <f>SUMIF($D$9:$D$72,$P10,$K$9:$K$72)/SUMIF($D$9:$D$72,$P10,$J$9:$J$72)</f>
        <v>436.40787990808434</v>
      </c>
      <c r="R10" s="220">
        <f>SUMIF($D$9:$D$72,$P10,$K$9:$K$72)</f>
        <v>1096958338.2</v>
      </c>
      <c r="S10" s="221">
        <f>SUMIF($D$9:$D$72,$P10,$L$9:$L$72)</f>
        <v>284758954.85</v>
      </c>
      <c r="T10" s="77">
        <f>IF(R10=0,"-",S10/R10)</f>
        <v>0.25958958050974046</v>
      </c>
      <c r="U10" s="222">
        <f>SUMIF($D$9:$D$72,$P10,$M$9:$M$72)</f>
        <v>447098133.96912134</v>
      </c>
      <c r="V10" s="222">
        <f>SUMIF($D$9:$D$72,$P10,$N$9:$N$72)</f>
        <v>378886705.47693294</v>
      </c>
    </row>
    <row r="11" spans="1:22" ht="29.25">
      <c r="A11" s="64" t="s">
        <v>41</v>
      </c>
      <c r="B11" s="64" t="s">
        <v>42</v>
      </c>
      <c r="C11" s="65" t="s">
        <v>43</v>
      </c>
      <c r="D11" s="66" t="s">
        <v>40</v>
      </c>
      <c r="E11" s="67" t="s">
        <v>35</v>
      </c>
      <c r="F11" s="68">
        <v>0.4</v>
      </c>
      <c r="G11" s="68">
        <v>0.9</v>
      </c>
      <c r="H11" s="68">
        <v>0.65</v>
      </c>
      <c r="I11" s="69">
        <v>745.8</v>
      </c>
      <c r="J11" s="70">
        <v>1840</v>
      </c>
      <c r="K11" s="71">
        <f>IF(J11="-",0,I11*J11)</f>
        <v>1372272</v>
      </c>
      <c r="L11" s="72">
        <f>IF(H11="-","-",K11*H11)</f>
        <v>891976.8</v>
      </c>
      <c r="M11" s="73">
        <f>IF($H11="-","-",(($K11/(-0.8+1)*((1/(1-$H11))^(-0.8+1)-1))))</f>
        <v>1603048.1659393278</v>
      </c>
      <c r="N11" s="73">
        <f>IF($H11="-","-",(($K11/(-1.2+1)*((1/(1-$H11))^(-1.2+1)-1))))</f>
        <v>1299451.8161481943</v>
      </c>
      <c r="O11" s="57"/>
      <c r="P11" s="79" t="s">
        <v>44</v>
      </c>
      <c r="Q11" s="80">
        <f>SUMIF($D$9:$D$72,$P11,$K$9:$K$72)/SUMIF($D$9:$D$72,$P11,$J$9:$J$72)</f>
        <v>399.0596132363669</v>
      </c>
      <c r="R11" s="223">
        <f>SUMIF($D$9:$D$72,$P11,$K$9:$K$72)</f>
        <v>2886788861.9</v>
      </c>
      <c r="S11" s="224">
        <f>SUMIF($D$9:$D$72,$P11,$L$9:$L$72)</f>
        <v>72971351.82500002</v>
      </c>
      <c r="T11" s="83">
        <f>IF(R11=0,"-",S11/R11)</f>
        <v>0.025277689265079263</v>
      </c>
      <c r="U11" s="225">
        <f>SUMIF($D$9:$D$72,$P11,$M$9:$M$72)</f>
        <v>86428131.35312782</v>
      </c>
      <c r="V11" s="225">
        <f>SUMIF($D$9:$D$72,$P11,$N$9:$N$72)</f>
        <v>81597177.45421617</v>
      </c>
    </row>
    <row r="12" spans="1:22" ht="42.75">
      <c r="A12" s="85" t="s">
        <v>45</v>
      </c>
      <c r="B12" s="85" t="s">
        <v>46</v>
      </c>
      <c r="C12" s="86" t="s">
        <v>47</v>
      </c>
      <c r="D12" s="87" t="s">
        <v>48</v>
      </c>
      <c r="E12" s="88" t="s">
        <v>49</v>
      </c>
      <c r="F12" s="89" t="str">
        <f>IF(E12="No aumenta",0,IF(E12="Pequeña",0,IF(E12="Moderada",0.1,IF(E12="Grande",0.4,IF(E12="Esencial",0.9,"-")))))</f>
        <v>-</v>
      </c>
      <c r="G12" s="89" t="str">
        <f>IF(E12="No aumenta",0,IF(E12="Pequeña",0.1,IF(E12="Moderada",0.4,IF(E12="Grande",0.9,IF(E12="Esencial",1,"-")))))</f>
        <v>-</v>
      </c>
      <c r="H12" s="89" t="str">
        <f>IF(F12="-","-",AVERAGE(F12:G12))</f>
        <v>-</v>
      </c>
      <c r="I12" s="90">
        <v>661.2</v>
      </c>
      <c r="J12" s="91">
        <v>29692</v>
      </c>
      <c r="K12" s="92">
        <f>IF(J12="-",0,I12*J12)</f>
        <v>19632350.400000002</v>
      </c>
      <c r="L12" s="93" t="str">
        <f>IF(H12="-","-",K12*H12)</f>
        <v>-</v>
      </c>
      <c r="M12" s="94" t="str">
        <f>IF($H12="-","-",(($K12/(-0.8+1)*((1/(1-$H12))^(-0.8+1)-1))))</f>
        <v>-</v>
      </c>
      <c r="N12" s="94" t="str">
        <f>IF($H12="-","-",(($K12/(-1.2+1)*((1/(1-$H12))^(-1.2+1)-1))))</f>
        <v>-</v>
      </c>
      <c r="O12" s="57"/>
      <c r="P12" s="95" t="s">
        <v>50</v>
      </c>
      <c r="Q12" s="96">
        <f>SUMIF($D$9:$D$72,$P12,$K$9:$K$72)/SUMIF($D$9:$D$72,$P12,$J$9:$J$72)</f>
        <v>362.78608774404796</v>
      </c>
      <c r="R12" s="226">
        <f>SUMIF($D$9:$D$72,$P12,$K$9:$K$72)</f>
        <v>20830088.8</v>
      </c>
      <c r="S12" s="227">
        <f>SUMIF($D$9:$D$72,$P12,$L$9:$L$72)</f>
        <v>1992974.365</v>
      </c>
      <c r="T12" s="99">
        <f>IF(R12=0,"-",S12/R12)</f>
        <v>0.09567767013071975</v>
      </c>
      <c r="U12" s="228">
        <f>SUMIF($D$9:$D$72,$P12,$M$9:$M$72)</f>
        <v>2359093.8718597214</v>
      </c>
      <c r="V12" s="228">
        <f>SUMIF($D$9:$D$72,$P12,$N$9:$N$72)</f>
        <v>2227663.8236528956</v>
      </c>
    </row>
    <row r="13" spans="1:22" ht="42.75">
      <c r="A13" s="85" t="s">
        <v>51</v>
      </c>
      <c r="B13" s="85" t="s">
        <v>52</v>
      </c>
      <c r="C13" s="86" t="s">
        <v>53</v>
      </c>
      <c r="D13" s="87" t="s">
        <v>48</v>
      </c>
      <c r="E13" s="88" t="s">
        <v>49</v>
      </c>
      <c r="F13" s="89" t="str">
        <f>IF(E13="No aumenta",0,IF(E13="Pequeña",0,IF(E13="Moderada",0.1,IF(E13="Grande",0.4,IF(E13="Esencial",0.9,"-")))))</f>
        <v>-</v>
      </c>
      <c r="G13" s="89" t="str">
        <f>IF(E13="No aumenta",0,IF(E13="Pequeña",0.1,IF(E13="Moderada",0.4,IF(E13="Grande",0.9,IF(E13="Esencial",1,"-")))))</f>
        <v>-</v>
      </c>
      <c r="H13" s="89" t="str">
        <f>IF(F13="-","-",AVERAGE(F13:G13))</f>
        <v>-</v>
      </c>
      <c r="I13" s="90">
        <v>1257.3</v>
      </c>
      <c r="J13" s="91">
        <v>46803</v>
      </c>
      <c r="K13" s="92">
        <f>IF(J13="-",0,I13*J13)</f>
        <v>58845411.9</v>
      </c>
      <c r="L13" s="93" t="str">
        <f>IF(H13="-","-",K13*H13)</f>
        <v>-</v>
      </c>
      <c r="M13" s="94" t="str">
        <f>IF($H13="-","-",(($K13/(-0.8+1)*((1/(1-$H13))^(-0.8+1)-1))))</f>
        <v>-</v>
      </c>
      <c r="N13" s="94" t="str">
        <f>IF($H13="-","-",(($K13/(-1.2+1)*((1/(1-$H13))^(-1.2+1)-1))))</f>
        <v>-</v>
      </c>
      <c r="O13" s="57"/>
      <c r="P13" s="101" t="s">
        <v>54</v>
      </c>
      <c r="Q13" s="102">
        <f>SUMIF($D$9:$D$72,$P13,$K$9:$K$72)/SUMIF($D$9:$D$72,$P13,$J$9:$J$72)</f>
        <v>221.4373918042029</v>
      </c>
      <c r="R13" s="229">
        <f>SUMIF($D$9:$D$72,$P13,$K$9:$K$72)</f>
        <v>80125791.6</v>
      </c>
      <c r="S13" s="230">
        <f>SUMIF($D$9:$D$72,$P13,$L$9:$L$72)</f>
        <v>0</v>
      </c>
      <c r="T13" s="105">
        <f>IF(R13=0,"-",S13/R13)</f>
        <v>0</v>
      </c>
      <c r="U13" s="231">
        <f>SUMIF($D$9:$D$72,$P13,$M$9:$M$72)</f>
        <v>0</v>
      </c>
      <c r="V13" s="231">
        <f>SUMIF($D$9:$D$72,$P13,$N$9:$N$72)</f>
        <v>0</v>
      </c>
    </row>
    <row r="14" spans="1:22" ht="16.5">
      <c r="A14" s="64" t="s">
        <v>55</v>
      </c>
      <c r="B14" s="64" t="s">
        <v>56</v>
      </c>
      <c r="C14" s="65" t="s">
        <v>57</v>
      </c>
      <c r="D14" s="66" t="s">
        <v>40</v>
      </c>
      <c r="E14" s="67" t="s">
        <v>35</v>
      </c>
      <c r="F14" s="68">
        <v>0.4</v>
      </c>
      <c r="G14" s="68">
        <v>0.9</v>
      </c>
      <c r="H14" s="68">
        <v>0.65</v>
      </c>
      <c r="I14" s="69">
        <v>1312.2</v>
      </c>
      <c r="J14" s="70">
        <v>89216</v>
      </c>
      <c r="K14" s="71">
        <f>IF(J14="-",0,I14*J14)</f>
        <v>117069235.2</v>
      </c>
      <c r="L14" s="72">
        <f>IF(H14="-","-",K14*H14)</f>
        <v>76095002.88000001</v>
      </c>
      <c r="M14" s="73">
        <f>IF($H14="-","-",(($K14/(-0.8+1)*((1/(1-$H14))^(-0.8+1)-1))))</f>
        <v>136756869.46558684</v>
      </c>
      <c r="N14" s="73">
        <f>IF($H14="-","-",(($K14/(-1.2+1)*((1/(1-$H14))^(-1.2+1)-1))))</f>
        <v>110856907.59245989</v>
      </c>
      <c r="O14" s="57"/>
      <c r="P14" s="107" t="s">
        <v>58</v>
      </c>
      <c r="Q14" s="108">
        <f>SUMIF($D$9:$D$72,$P14,$K$9:$K$72)/SUMIF($D$9:$D$72,$P14,$J$9:$J$72)</f>
        <v>3476.9</v>
      </c>
      <c r="R14" s="250">
        <f>SUMIF($D$9:$D$72,$P14,$K$9:$K$72)</f>
        <v>212090.9</v>
      </c>
      <c r="S14" s="251">
        <f>SUMIF($D$9:$D$72,$P14,$L$9:$L$72)</f>
        <v>10604.545</v>
      </c>
      <c r="T14" s="111">
        <f>IF(R14=0,"-",S14/R14)</f>
        <v>0.05</v>
      </c>
      <c r="U14" s="252">
        <f>SUMIF($D$9:$D$72,$P14,$M$9:$M$72)</f>
        <v>10934.83343527226</v>
      </c>
      <c r="V14" s="252">
        <f>SUMIF($D$9:$D$72,$P14,$N$9:$N$72)</f>
        <v>10823.230138015451</v>
      </c>
    </row>
    <row r="15" spans="1:22" ht="42.75">
      <c r="A15" s="64" t="s">
        <v>59</v>
      </c>
      <c r="B15" s="64" t="s">
        <v>60</v>
      </c>
      <c r="C15" s="65" t="s">
        <v>61</v>
      </c>
      <c r="D15" s="66" t="s">
        <v>40</v>
      </c>
      <c r="E15" s="67" t="s">
        <v>62</v>
      </c>
      <c r="F15" s="68" t="s">
        <v>63</v>
      </c>
      <c r="G15" s="68" t="s">
        <v>63</v>
      </c>
      <c r="H15" s="68" t="s">
        <v>63</v>
      </c>
      <c r="I15" s="69">
        <v>580.2</v>
      </c>
      <c r="J15" s="70">
        <v>16</v>
      </c>
      <c r="K15" s="71">
        <f>IF(J15="-",0,I15*J15)</f>
        <v>9283.2</v>
      </c>
      <c r="L15" s="72" t="str">
        <f>IF(H15="-","-",K15*H15)</f>
        <v>-</v>
      </c>
      <c r="M15" s="73" t="str">
        <f>IF($H15="-","-",(($K15/(-0.8+1)*((1/(1-$H15))^(-0.8+1)-1))))</f>
        <v>-</v>
      </c>
      <c r="N15" s="73" t="str">
        <f>IF($H15="-","-",(($K15/(-1.2+1)*((1/(1-$H15))^(-1.2+1)-1))))</f>
        <v>-</v>
      </c>
      <c r="O15" s="57"/>
      <c r="P15" s="113" t="s">
        <v>64</v>
      </c>
      <c r="Q15" s="114">
        <f>SUMIF($D$9:$D$72,$P15,$K$9:$K$72)/SUMIF($D$9:$D$72,$P15,$J$9:$J$72)</f>
        <v>31.199999999999996</v>
      </c>
      <c r="R15" s="245">
        <f>SUMIF($D$9:$D$72,$P15,$K$9:$K$72)</f>
        <v>18854097.599999998</v>
      </c>
      <c r="S15" s="246">
        <f>SUMIF($D$9:$D$72,$P15,$L$9:$L$72)</f>
        <v>0</v>
      </c>
      <c r="T15" s="117">
        <f>IF(R15=0,"-",S15/R15)</f>
        <v>0</v>
      </c>
      <c r="U15" s="247">
        <f>SUMIF($D$9:$D$72,$P15,$M$9:$M$72)</f>
        <v>0</v>
      </c>
      <c r="V15" s="247">
        <f>SUMIF($D$9:$D$72,$P15,$N$9:$N$72)</f>
        <v>0</v>
      </c>
    </row>
    <row r="16" spans="1:22" ht="16.5">
      <c r="A16" s="119" t="s">
        <v>65</v>
      </c>
      <c r="B16" s="119" t="s">
        <v>66</v>
      </c>
      <c r="C16" s="120" t="s">
        <v>67</v>
      </c>
      <c r="D16" s="121" t="s">
        <v>36</v>
      </c>
      <c r="E16" s="122" t="s">
        <v>68</v>
      </c>
      <c r="F16" s="123">
        <v>0</v>
      </c>
      <c r="G16" s="123">
        <v>0</v>
      </c>
      <c r="H16" s="123">
        <v>0</v>
      </c>
      <c r="I16" s="124">
        <v>194.8</v>
      </c>
      <c r="J16" s="125">
        <v>265326</v>
      </c>
      <c r="K16" s="126">
        <f>IF(J16="-",0,I16*J16)</f>
        <v>51685504.800000004</v>
      </c>
      <c r="L16" s="127">
        <f>IF(H16="-","-",K16*H16)</f>
        <v>0</v>
      </c>
      <c r="M16" s="128">
        <f>IF($H16="-","-",(($K16/(-0.8+1)*((1/(1-$H16))^(-0.8+1)-1))))</f>
        <v>0</v>
      </c>
      <c r="N16" s="128">
        <f>IF($H16="-","-",(($K16/(-1.2+1)*((1/(1-$H16))^(-1.2+1)-1))))</f>
        <v>0</v>
      </c>
      <c r="O16" s="57"/>
      <c r="P16" s="49" t="s">
        <v>34</v>
      </c>
      <c r="Q16" s="129">
        <f>SUMIF($D$9:$D$72,$P16,$K$9:$K$72)/SUMIF($D$9:$D$72,$P16,$J$9:$J$72)</f>
        <v>788.8437880396779</v>
      </c>
      <c r="R16" s="232">
        <f>SUMIF($D$9:$D$72,$P16,$K$9:$K$72)</f>
        <v>30458047.5</v>
      </c>
      <c r="S16" s="233">
        <f>SUMIF($D$9:$D$72,$P16,$L$9:$L$72)</f>
        <v>16292435.834999999</v>
      </c>
      <c r="T16" s="132">
        <f>IF(R16=0,"-",S16/R16)</f>
        <v>0.5349139939124462</v>
      </c>
      <c r="U16" s="234">
        <f>SUMIF($D$9:$D$72,$P16,$M$9:$M$72)</f>
        <v>28969204.93124217</v>
      </c>
      <c r="V16" s="234">
        <f>SUMIF($D$9:$D$72,$P16,$N$9:$N$72)</f>
        <v>23563149.463961747</v>
      </c>
    </row>
    <row r="17" spans="1:22" ht="42.75">
      <c r="A17" s="134" t="s">
        <v>69</v>
      </c>
      <c r="B17" s="134" t="s">
        <v>70</v>
      </c>
      <c r="C17" s="135" t="s">
        <v>71</v>
      </c>
      <c r="D17" s="95" t="s">
        <v>50</v>
      </c>
      <c r="E17" s="136" t="s">
        <v>72</v>
      </c>
      <c r="F17" s="137">
        <v>0</v>
      </c>
      <c r="G17" s="137">
        <v>0.1</v>
      </c>
      <c r="H17" s="137">
        <v>0.05</v>
      </c>
      <c r="I17" s="138">
        <v>1857.6</v>
      </c>
      <c r="J17" s="139">
        <v>108</v>
      </c>
      <c r="K17" s="140">
        <f>IF(J17="-",0,I17*J17)</f>
        <v>200620.8</v>
      </c>
      <c r="L17" s="141">
        <f>IF(H17="-","-",K17*H17)</f>
        <v>10031.04</v>
      </c>
      <c r="M17" s="142">
        <f>IF($H17="-","-",(($K17/(-0.8+1)*((1/(1-$H17))^(-0.8+1)-1))))</f>
        <v>10343.466087658964</v>
      </c>
      <c r="N17" s="142">
        <f>IF($H17="-","-",(($K17/(-1.2+1)*((1/(1-$H17))^(-1.2+1)-1))))</f>
        <v>10237.898414655083</v>
      </c>
      <c r="O17" s="57"/>
      <c r="P17" s="87" t="s">
        <v>48</v>
      </c>
      <c r="Q17" s="143">
        <f>SUMIF($D$9:$D$72,$P17,$K$9:$K$72)/SUMIF($D$9:$D$72,$P17,$J$9:$J$72)</f>
        <v>447.73886078793834</v>
      </c>
      <c r="R17" s="235">
        <f>SUMIF($D$9:$D$72,$P17,$K$9:$K$72)</f>
        <v>2193739979.1000004</v>
      </c>
      <c r="S17" s="236">
        <f>SUMIF($D$9:$D$72,$P17,$L$9:$L$72)</f>
        <v>501682525.52500004</v>
      </c>
      <c r="T17" s="146">
        <f>IF(R17=0,"-",S17/R17)</f>
        <v>0.2286882357547312</v>
      </c>
      <c r="U17" s="237">
        <f>SUMIF($D$9:$D$72,$P17,$M$9:$M$72)</f>
        <v>1502922381.033379</v>
      </c>
      <c r="V17" s="237">
        <f>SUMIF($D$9:$D$72,$P17,$N$9:$N$72)</f>
        <v>936965100.1148448</v>
      </c>
    </row>
    <row r="18" spans="1:22" ht="29.25">
      <c r="A18" s="85" t="s">
        <v>73</v>
      </c>
      <c r="B18" s="85" t="s">
        <v>74</v>
      </c>
      <c r="C18" s="86" t="s">
        <v>75</v>
      </c>
      <c r="D18" s="87" t="s">
        <v>48</v>
      </c>
      <c r="E18" s="88" t="s">
        <v>72</v>
      </c>
      <c r="F18" s="89">
        <v>0</v>
      </c>
      <c r="G18" s="89">
        <v>0.1</v>
      </c>
      <c r="H18" s="89">
        <v>0.05</v>
      </c>
      <c r="I18" s="90">
        <v>1536</v>
      </c>
      <c r="J18" s="91">
        <v>63247</v>
      </c>
      <c r="K18" s="92">
        <f>IF(J18="-",0,I18*J18)</f>
        <v>97147392</v>
      </c>
      <c r="L18" s="93">
        <f>IF(H18="-","-",K18*H18)</f>
        <v>4857369.600000001</v>
      </c>
      <c r="M18" s="94">
        <f>IF($H18="-","-",(($K18/(-0.8+1)*((1/(1-$H18))^(-0.8+1)-1))))</f>
        <v>5008656.902257951</v>
      </c>
      <c r="N18" s="94">
        <f>IF($H18="-","-",(($K18/(-1.2+1)*((1/(1-$H18))^(-1.2+1)-1))))</f>
        <v>4957537.456458533</v>
      </c>
      <c r="O18" s="57"/>
      <c r="P18" s="57"/>
      <c r="Q18" s="57"/>
      <c r="R18" s="238"/>
      <c r="S18" s="239"/>
      <c r="T18" s="150"/>
      <c r="U18" s="240"/>
      <c r="V18" s="240"/>
    </row>
    <row r="19" spans="1:22" ht="42.75">
      <c r="A19" s="134" t="s">
        <v>254</v>
      </c>
      <c r="B19" s="134" t="s">
        <v>77</v>
      </c>
      <c r="C19" s="135" t="s">
        <v>78</v>
      </c>
      <c r="D19" s="95" t="s">
        <v>50</v>
      </c>
      <c r="E19" s="136" t="s">
        <v>79</v>
      </c>
      <c r="F19" s="137">
        <v>0.1</v>
      </c>
      <c r="G19" s="137">
        <v>0.4</v>
      </c>
      <c r="H19" s="137">
        <v>0.25</v>
      </c>
      <c r="I19" s="138">
        <v>256.7</v>
      </c>
      <c r="J19" s="139">
        <v>30899</v>
      </c>
      <c r="K19" s="140">
        <f>IF(J19="-",0,I19*J19)</f>
        <v>7931773.3</v>
      </c>
      <c r="L19" s="141">
        <f>IF(H19="-","-",K19*H19)</f>
        <v>1982943.325</v>
      </c>
      <c r="M19" s="142">
        <f>IF($H19="-","-",(($K19/(-0.8+1)*((1/(1-$H19))^(-0.8+1)-1))))</f>
        <v>2348750.4057720625</v>
      </c>
      <c r="N19" s="142">
        <f>IF($H19="-","-",(($K19/(-1.2+1)*((1/(1-$H19))^(-1.2+1)-1))))</f>
        <v>2217425.9252382405</v>
      </c>
      <c r="O19" s="57"/>
      <c r="P19" s="152" t="s">
        <v>80</v>
      </c>
      <c r="Q19" s="152"/>
      <c r="R19" s="241">
        <f>SUM(R9:R17)</f>
        <v>6822243498.3</v>
      </c>
      <c r="S19" s="242">
        <f>SUM(S9:S17)</f>
        <v>877708846.945</v>
      </c>
      <c r="T19" s="155">
        <f>IF(R19=0,"-",S19/R19)</f>
        <v>0.1286539900201029</v>
      </c>
      <c r="U19" s="243">
        <f>SUM(U9:U17)</f>
        <v>2067787879.9921656</v>
      </c>
      <c r="V19" s="243">
        <f>SUM(V9:V17)</f>
        <v>1423250619.5637467</v>
      </c>
    </row>
    <row r="20" spans="1:15" ht="42.75">
      <c r="A20" s="85" t="s">
        <v>81</v>
      </c>
      <c r="B20" s="85" t="s">
        <v>82</v>
      </c>
      <c r="C20" s="86" t="s">
        <v>83</v>
      </c>
      <c r="D20" s="87" t="s">
        <v>48</v>
      </c>
      <c r="E20" s="88" t="s">
        <v>49</v>
      </c>
      <c r="F20" s="89" t="str">
        <f>IF(E20="No aumenta",0,IF(E20="Pequeña",0,IF(E20="Moderada",0.1,IF(E20="Grande",0.4,IF(E20="Esencial",0.9,"-")))))</f>
        <v>-</v>
      </c>
      <c r="G20" s="89" t="str">
        <f>IF(E20="No aumenta",0,IF(E20="Pequeña",0.1,IF(E20="Moderada",0.4,IF(E20="Grande",0.9,IF(E20="Esencial",1,"-")))))</f>
        <v>-</v>
      </c>
      <c r="H20" s="89" t="str">
        <f>IF(F20="-","-",AVERAGE(F20:G20))</f>
        <v>-</v>
      </c>
      <c r="I20" s="90">
        <v>247</v>
      </c>
      <c r="J20" s="91">
        <v>29262</v>
      </c>
      <c r="K20" s="92">
        <f>IF(J20="-",0,I20*J20)</f>
        <v>7227714</v>
      </c>
      <c r="L20" s="93" t="str">
        <f>IF(H20="-","-",K20*H20)</f>
        <v>-</v>
      </c>
      <c r="M20" s="94" t="str">
        <f>IF($H20="-","-",(($K20/(-0.8+1)*((1/(1-$H20))^(-0.8+1)-1))))</f>
        <v>-</v>
      </c>
      <c r="N20" s="94" t="str">
        <f>IF($H20="-","-",(($K20/(-1.2+1)*((1/(1-$H20))^(-1.2+1)-1))))</f>
        <v>-</v>
      </c>
      <c r="O20" s="57"/>
    </row>
    <row r="21" spans="1:15" ht="42.75">
      <c r="A21" s="85" t="s">
        <v>84</v>
      </c>
      <c r="B21" s="85" t="s">
        <v>85</v>
      </c>
      <c r="C21" s="86" t="s">
        <v>86</v>
      </c>
      <c r="D21" s="87" t="s">
        <v>48</v>
      </c>
      <c r="E21" s="88" t="s">
        <v>49</v>
      </c>
      <c r="F21" s="89" t="str">
        <f>IF(E21="No aumenta",0,IF(E21="Pequeña",0,IF(E21="Moderada",0.1,IF(E21="Grande",0.4,IF(E21="Esencial",0.9,"-")))))</f>
        <v>-</v>
      </c>
      <c r="G21" s="89" t="str">
        <f>IF(E21="No aumenta",0,IF(E21="Pequeña",0.1,IF(E21="Moderada",0.4,IF(E21="Grande",0.9,IF(E21="Esencial",1,"-")))))</f>
        <v>-</v>
      </c>
      <c r="H21" s="89" t="str">
        <f>IF(F21="-","-",AVERAGE(F21:G21))</f>
        <v>-</v>
      </c>
      <c r="I21" s="90">
        <v>283.4</v>
      </c>
      <c r="J21" s="91">
        <v>177388</v>
      </c>
      <c r="K21" s="92">
        <f>IF(J21="-",0,I21*J21)</f>
        <v>50271759.199999996</v>
      </c>
      <c r="L21" s="93" t="str">
        <f>IF(H21="-","-",K21*H21)</f>
        <v>-</v>
      </c>
      <c r="M21" s="94" t="str">
        <f>IF($H21="-","-",(($K21/(-0.8+1)*((1/(1-$H21))^(-0.8+1)-1))))</f>
        <v>-</v>
      </c>
      <c r="N21" s="94" t="str">
        <f>IF($H21="-","-",(($K21/(-1.2+1)*((1/(1-$H21))^(-1.2+1)-1))))</f>
        <v>-</v>
      </c>
      <c r="O21" s="57"/>
    </row>
    <row r="22" spans="1:15" ht="42.75">
      <c r="A22" s="85" t="s">
        <v>281</v>
      </c>
      <c r="B22" s="85" t="s">
        <v>88</v>
      </c>
      <c r="C22" s="86" t="s">
        <v>83</v>
      </c>
      <c r="D22" s="87" t="s">
        <v>48</v>
      </c>
      <c r="E22" s="88" t="s">
        <v>49</v>
      </c>
      <c r="F22" s="89" t="str">
        <f>IF(E22="No aumenta",0,IF(E22="Pequeña",0,IF(E22="Moderada",0.1,IF(E22="Grande",0.4,IF(E22="Esencial",0.9,"-")))))</f>
        <v>-</v>
      </c>
      <c r="G22" s="89" t="str">
        <f>IF(E22="No aumenta",0,IF(E22="Pequeña",0.1,IF(E22="Moderada",0.4,IF(E22="Grande",0.9,IF(E22="Esencial",1,"-")))))</f>
        <v>-</v>
      </c>
      <c r="H22" s="89" t="str">
        <f>IF(F22="-","-",AVERAGE(F22:G22))</f>
        <v>-</v>
      </c>
      <c r="I22" s="90">
        <v>325.3</v>
      </c>
      <c r="J22" s="91">
        <f>31764+48285</f>
        <v>80049</v>
      </c>
      <c r="K22" s="92">
        <f>IF(J22="-",0,I22*J22)</f>
        <v>26039939.7</v>
      </c>
      <c r="L22" s="93" t="str">
        <f>IF(H22="-","-",K22*H22)</f>
        <v>-</v>
      </c>
      <c r="M22" s="94" t="str">
        <f>IF($H22="-","-",(($K22/(-0.8+1)*((1/(1-$H22))^(-0.8+1)-1))))</f>
        <v>-</v>
      </c>
      <c r="N22" s="94" t="str">
        <f>IF($H22="-","-",(($K22/(-1.2+1)*((1/(1-$H22))^(-1.2+1)-1))))</f>
        <v>-</v>
      </c>
      <c r="O22" s="57"/>
    </row>
    <row r="23" spans="1:15" ht="29.25">
      <c r="A23" s="64" t="s">
        <v>246</v>
      </c>
      <c r="B23" s="64" t="s">
        <v>90</v>
      </c>
      <c r="C23" s="65" t="s">
        <v>91</v>
      </c>
      <c r="D23" s="66" t="s">
        <v>40</v>
      </c>
      <c r="E23" s="67" t="s">
        <v>35</v>
      </c>
      <c r="F23" s="68">
        <f>IF(E23="No aumenta",0,IF(E23="Pequeña",0,IF(E23="Moderada",0.1,IF(E23="Grande",0.4,IF(E23="Esencial",0.9,"-")))))</f>
        <v>0.4</v>
      </c>
      <c r="G23" s="68">
        <f>IF(E23="No aumenta",0,IF(E23="Pequeña",0.1,IF(E23="Moderada",0.4,IF(E23="Grande",0.9,IF(E23="Esencial",1,"-")))))</f>
        <v>0.9</v>
      </c>
      <c r="H23" s="68">
        <f>IF(F23="-","-",AVERAGE(F23:G23))</f>
        <v>0.65</v>
      </c>
      <c r="I23" s="69">
        <v>1344.2</v>
      </c>
      <c r="J23" s="70">
        <v>6706</v>
      </c>
      <c r="K23" s="71">
        <f>IF(J23="-",0,I23*J23)</f>
        <v>9014205.200000001</v>
      </c>
      <c r="L23" s="72">
        <f>IF(H23="-","-",K23*H23)</f>
        <v>5859233.380000001</v>
      </c>
      <c r="M23" s="73">
        <f>IF($H23="-","-",(($K23/(-0.8+1)*((1/(1-$H23))^(-0.8+1)-1))))</f>
        <v>10530131.863989612</v>
      </c>
      <c r="N23" s="73">
        <f>IF($H23="-","-",(($K23/(-1.2+1)*((1/(1-$H23))^(-1.2+1)-1))))</f>
        <v>8535862.655707102</v>
      </c>
      <c r="O23" s="57"/>
    </row>
    <row r="24" spans="1:15" ht="16.5">
      <c r="A24" s="47" t="s">
        <v>92</v>
      </c>
      <c r="B24" s="47" t="s">
        <v>93</v>
      </c>
      <c r="C24" s="48" t="s">
        <v>94</v>
      </c>
      <c r="D24" s="49" t="s">
        <v>34</v>
      </c>
      <c r="E24" s="50" t="s">
        <v>79</v>
      </c>
      <c r="F24" s="51">
        <f>IF(E24="No aumenta",0,IF(E24="Pequeña",0,IF(E24="Moderada",0.1,IF(E24="Grande",0.4,IF(E24="Esencial",0.9,"-")))))</f>
        <v>0.1</v>
      </c>
      <c r="G24" s="51">
        <f>IF(E24="No aumenta",0,IF(E24="Pequeña",0.1,IF(E24="Moderada",0.4,IF(E24="Grande",0.9,IF(E24="Esencial",1,"-")))))</f>
        <v>0.4</v>
      </c>
      <c r="H24" s="51">
        <f>IF(F24="-","-",AVERAGE(F24:G24))</f>
        <v>0.25</v>
      </c>
      <c r="I24" s="157">
        <v>1532.8</v>
      </c>
      <c r="J24" s="158">
        <v>1326</v>
      </c>
      <c r="K24" s="54">
        <f>IF(J24="-",0,I24*J24)</f>
        <v>2032492.8</v>
      </c>
      <c r="L24" s="55">
        <f>IF(H24="-","-",K24*H24)</f>
        <v>508123.2</v>
      </c>
      <c r="M24" s="56">
        <f>IF($H24="-","-",(($K24/(-0.8+1)*((1/(1-$H24))^(-0.8+1)-1))))</f>
        <v>601860.152600276</v>
      </c>
      <c r="N24" s="56">
        <f>IF($H24="-","-",(($K24/(-1.2+1)*((1/(1-$H24))^(-1.2+1)-1))))</f>
        <v>568208.6536159653</v>
      </c>
      <c r="O24" s="57"/>
    </row>
    <row r="25" spans="1:15" ht="16.5">
      <c r="A25" s="134" t="s">
        <v>95</v>
      </c>
      <c r="B25" s="134" t="s">
        <v>96</v>
      </c>
      <c r="C25" s="135" t="s">
        <v>97</v>
      </c>
      <c r="D25" s="95" t="s">
        <v>50</v>
      </c>
      <c r="E25" s="136" t="s">
        <v>68</v>
      </c>
      <c r="F25" s="137">
        <v>0</v>
      </c>
      <c r="G25" s="137">
        <v>0</v>
      </c>
      <c r="H25" s="137">
        <v>0</v>
      </c>
      <c r="I25" s="138">
        <v>652.7</v>
      </c>
      <c r="J25" s="139">
        <v>15730</v>
      </c>
      <c r="K25" s="140">
        <f>IF(J25="-",0,I25*J25)</f>
        <v>10266971</v>
      </c>
      <c r="L25" s="141">
        <f>IF(H25="-","-",K25*H25)</f>
        <v>0</v>
      </c>
      <c r="M25" s="142">
        <f>IF($H25="-","-",(($K25/(-0.8+1)*((1/(1-$H25))^(-0.8+1)-1))))</f>
        <v>0</v>
      </c>
      <c r="N25" s="142">
        <f>IF($H25="-","-",(($K25/(-1.2+1)*((1/(1-$H25))^(-1.2+1)-1))))</f>
        <v>0</v>
      </c>
      <c r="O25" s="57"/>
    </row>
    <row r="26" spans="1:15" ht="42.75">
      <c r="A26" s="159" t="s">
        <v>98</v>
      </c>
      <c r="B26" s="159" t="s">
        <v>99</v>
      </c>
      <c r="C26" s="160" t="s">
        <v>100</v>
      </c>
      <c r="D26" s="161" t="s">
        <v>58</v>
      </c>
      <c r="E26" s="162" t="s">
        <v>72</v>
      </c>
      <c r="F26" s="163">
        <v>0</v>
      </c>
      <c r="G26" s="163">
        <v>0.1</v>
      </c>
      <c r="H26" s="163">
        <v>0.05</v>
      </c>
      <c r="I26" s="164">
        <v>3476.9</v>
      </c>
      <c r="J26" s="165">
        <v>61</v>
      </c>
      <c r="K26" s="166">
        <f>IF(J26="-",0,I26*J26)</f>
        <v>212090.9</v>
      </c>
      <c r="L26" s="167">
        <f>IF(H26="-","-",K26*H26)</f>
        <v>10604.545</v>
      </c>
      <c r="M26" s="168">
        <f>IF($H26="-","-",(($K26/(-0.8+1)*((1/(1-$H26))^(-0.8+1)-1))))</f>
        <v>10934.83343527226</v>
      </c>
      <c r="N26" s="168">
        <f>IF($H26="-","-",(($K26/(-1.2+1)*((1/(1-$H26))^(-1.2+1)-1))))</f>
        <v>10823.230138015451</v>
      </c>
      <c r="O26" s="57"/>
    </row>
    <row r="27" spans="1:15" ht="29.25">
      <c r="A27" s="85" t="s">
        <v>101</v>
      </c>
      <c r="B27" s="85" t="s">
        <v>102</v>
      </c>
      <c r="C27" s="86" t="s">
        <v>100</v>
      </c>
      <c r="D27" s="87" t="s">
        <v>48</v>
      </c>
      <c r="E27" s="88" t="s">
        <v>72</v>
      </c>
      <c r="F27" s="89">
        <v>0</v>
      </c>
      <c r="G27" s="89">
        <v>0.1</v>
      </c>
      <c r="H27" s="89">
        <v>0.05</v>
      </c>
      <c r="I27" s="90">
        <v>708.5</v>
      </c>
      <c r="J27" s="91">
        <f>572218+520</f>
        <v>572738</v>
      </c>
      <c r="K27" s="92">
        <f>IF(J27="-",0,I27*J27)</f>
        <v>405784873</v>
      </c>
      <c r="L27" s="93">
        <f>IF(H27="-","-",K27*H27)</f>
        <v>20289243.650000002</v>
      </c>
      <c r="M27" s="94">
        <f>IF($H27="-","-",(($K27/(-0.8+1)*((1/(1-$H27))^(-0.8+1)-1))))</f>
        <v>20921171.04886682</v>
      </c>
      <c r="N27" s="94">
        <f>IF($H27="-","-",(($K27/(-1.2+1)*((1/(1-$H27))^(-1.2+1)-1))))</f>
        <v>20707645.009778224</v>
      </c>
      <c r="O27" s="57"/>
    </row>
    <row r="28" spans="1:15" ht="29.25">
      <c r="A28" s="64" t="s">
        <v>269</v>
      </c>
      <c r="B28" s="64" t="s">
        <v>270</v>
      </c>
      <c r="C28" s="65" t="s">
        <v>271</v>
      </c>
      <c r="D28" s="66" t="s">
        <v>40</v>
      </c>
      <c r="E28" s="67" t="s">
        <v>35</v>
      </c>
      <c r="F28" s="68">
        <f>IF(E28="No aumenta",0,IF(E28="Pequeña",0,IF(E28="Moderada",0.1,IF(E28="Grande",0.4,IF(E28="Esencial",0.9,"-")))))</f>
        <v>0.4</v>
      </c>
      <c r="G28" s="68">
        <f>IF(E28="No aumenta",0,IF(E28="Pequeña",0.1,IF(E28="Moderada",0.4,IF(E28="Grande",0.9,IF(E28="Esencial",1,"-")))))</f>
        <v>0.9</v>
      </c>
      <c r="H28" s="68">
        <f>IF(F28="-","-",AVERAGE(F28:G28))</f>
        <v>0.65</v>
      </c>
      <c r="I28" s="69">
        <v>0</v>
      </c>
      <c r="J28" s="70"/>
      <c r="K28" s="71">
        <f>IF(J28="-",0,I28*J28)</f>
        <v>0</v>
      </c>
      <c r="L28" s="72">
        <f>IF(H28="-","-",K28*H28)</f>
        <v>0</v>
      </c>
      <c r="M28" s="73">
        <f>IF($H28="-","-",(($K28/(-0.8+1)*((1/(1-$H28))^(-0.8+1)-1))))</f>
        <v>0</v>
      </c>
      <c r="N28" s="73">
        <f>IF($H28="-","-",(($K28/(-1.2+1)*((1/(1-$H28))^(-1.2+1)-1))))</f>
        <v>0</v>
      </c>
      <c r="O28" s="57"/>
    </row>
    <row r="29" spans="1:15" ht="29.25">
      <c r="A29" s="85" t="s">
        <v>103</v>
      </c>
      <c r="B29" s="85" t="s">
        <v>104</v>
      </c>
      <c r="C29" s="86" t="s">
        <v>105</v>
      </c>
      <c r="D29" s="87" t="s">
        <v>48</v>
      </c>
      <c r="E29" s="88" t="s">
        <v>35</v>
      </c>
      <c r="F29" s="89">
        <v>0.4</v>
      </c>
      <c r="G29" s="89">
        <v>0.9</v>
      </c>
      <c r="H29" s="89">
        <v>0.65</v>
      </c>
      <c r="I29" s="90">
        <v>371.5</v>
      </c>
      <c r="J29" s="91">
        <f>644830+695</f>
        <v>645525</v>
      </c>
      <c r="K29" s="92">
        <f>IF(J29="-",0,I29*J29)</f>
        <v>239812537.5</v>
      </c>
      <c r="L29" s="93">
        <f>IF(H29="-","-",K29*H29)</f>
        <v>155878149.375</v>
      </c>
      <c r="M29" s="94">
        <f>IF($H29="-","-",(($K29/(-0.8+1)*((1/(1-$H29))^(-0.8+1)-1))))</f>
        <v>280142018.78973794</v>
      </c>
      <c r="N29" s="94">
        <f>IF($H29="-","-",(($K29/(-1.2+1)*((1/(1-$H29))^(-1.2+1)-1))))</f>
        <v>227086785.5567132</v>
      </c>
      <c r="O29" s="57"/>
    </row>
    <row r="30" spans="1:15" ht="29.25">
      <c r="A30" s="85" t="s">
        <v>106</v>
      </c>
      <c r="B30" s="85" t="s">
        <v>107</v>
      </c>
      <c r="C30" s="86" t="s">
        <v>108</v>
      </c>
      <c r="D30" s="87" t="s">
        <v>48</v>
      </c>
      <c r="E30" s="88" t="s">
        <v>79</v>
      </c>
      <c r="F30" s="89">
        <v>0.1</v>
      </c>
      <c r="G30" s="89">
        <v>0.4</v>
      </c>
      <c r="H30" s="89">
        <v>0.25</v>
      </c>
      <c r="I30" s="90">
        <v>524.4</v>
      </c>
      <c r="J30" s="91">
        <v>183608</v>
      </c>
      <c r="K30" s="92">
        <f>IF(J30="-",0,I30*J30)</f>
        <v>96284035.2</v>
      </c>
      <c r="L30" s="93">
        <f>IF(H30="-","-",K30*H30)</f>
        <v>24071008.8</v>
      </c>
      <c r="M30" s="94">
        <f>IF($H30="-","-",(($K30/(-0.8+1)*((1/(1-$H30))^(-0.8+1)-1))))</f>
        <v>28511551.98111519</v>
      </c>
      <c r="N30" s="94">
        <f>IF($H30="-","-",(($K30/(-1.2+1)*((1/(1-$H30))^(-1.2+1)-1))))</f>
        <v>26917400.153006308</v>
      </c>
      <c r="O30" s="57"/>
    </row>
    <row r="31" spans="1:15" ht="16.5">
      <c r="A31" s="64" t="s">
        <v>109</v>
      </c>
      <c r="B31" s="64" t="s">
        <v>110</v>
      </c>
      <c r="C31" s="65" t="s">
        <v>111</v>
      </c>
      <c r="D31" s="66" t="s">
        <v>40</v>
      </c>
      <c r="E31" s="67" t="s">
        <v>79</v>
      </c>
      <c r="F31" s="68">
        <f>IF(E31="No aumenta",0,IF(E31="Pequeña",0,IF(E31="Moderada",0.1,IF(E31="Grande",0.4,IF(E31="Esencial",0.9,"-")))))</f>
        <v>0.1</v>
      </c>
      <c r="G31" s="68">
        <f>IF(E31="No aumenta",0,IF(E31="Pequeña",0.1,IF(E31="Moderada",0.4,IF(E31="Grande",0.9,IF(E31="Esencial",1,"-")))))</f>
        <v>0.4</v>
      </c>
      <c r="H31" s="68">
        <f>IF(F31="-","-",AVERAGE(F31:G31))</f>
        <v>0.25</v>
      </c>
      <c r="I31" s="69">
        <v>1167.4</v>
      </c>
      <c r="J31" s="70">
        <v>2528</v>
      </c>
      <c r="K31" s="71">
        <f>IF(J31="-",0,I31*J31)</f>
        <v>2951187.2</v>
      </c>
      <c r="L31" s="72">
        <f>IF(H31="-","-",K31*H31)</f>
        <v>737796.8</v>
      </c>
      <c r="M31" s="73">
        <f>IF($H31="-","-",(($K31/(-0.8+1)*((1/(1-$H31))^(-0.8+1)-1))))</f>
        <v>873903.2081904456</v>
      </c>
      <c r="N31" s="73">
        <f>IF($H31="-","-",(($K31/(-1.2+1)*((1/(1-$H31))^(-1.2+1)-1))))</f>
        <v>825041.1049331494</v>
      </c>
      <c r="O31" s="57"/>
    </row>
    <row r="32" spans="1:15" ht="42.75">
      <c r="A32" s="85" t="s">
        <v>112</v>
      </c>
      <c r="B32" s="85" t="s">
        <v>113</v>
      </c>
      <c r="C32" s="86" t="s">
        <v>114</v>
      </c>
      <c r="D32" s="87" t="s">
        <v>48</v>
      </c>
      <c r="E32" s="88" t="s">
        <v>62</v>
      </c>
      <c r="F32" s="89" t="s">
        <v>63</v>
      </c>
      <c r="G32" s="89" t="s">
        <v>63</v>
      </c>
      <c r="H32" s="89" t="s">
        <v>63</v>
      </c>
      <c r="I32" s="90">
        <v>1879.1</v>
      </c>
      <c r="J32" s="91">
        <v>48106</v>
      </c>
      <c r="K32" s="92">
        <f>IF(J32="-",0,I32*J32)</f>
        <v>90395984.6</v>
      </c>
      <c r="L32" s="93" t="str">
        <f>IF(H32="-","-",K32*H32)</f>
        <v>-</v>
      </c>
      <c r="M32" s="94" t="str">
        <f>IF($H32="-","-",(($K32/(-0.8+1)*((1/(1-$H32))^(-0.8+1)-1))))</f>
        <v>-</v>
      </c>
      <c r="N32" s="94" t="str">
        <f>IF($H32="-","-",(($K32/(-1.2+1)*((1/(1-$H32))^(-1.2+1)-1))))</f>
        <v>-</v>
      </c>
      <c r="O32" s="57"/>
    </row>
    <row r="33" spans="1:15" ht="29.25">
      <c r="A33" s="64" t="s">
        <v>115</v>
      </c>
      <c r="B33" s="64" t="s">
        <v>116</v>
      </c>
      <c r="C33" s="65" t="s">
        <v>117</v>
      </c>
      <c r="D33" s="66" t="s">
        <v>40</v>
      </c>
      <c r="E33" s="67" t="s">
        <v>72</v>
      </c>
      <c r="F33" s="68">
        <f>IF(E33="No aumenta",0,IF(E33="Pequeña",0,IF(E33="Moderada",0.1,IF(E33="Grande",0.4,IF(E33="Esencial",0.9,"-")))))</f>
        <v>0</v>
      </c>
      <c r="G33" s="68">
        <f>IF(E33="No aumenta",0,IF(E33="Pequeña",0.1,IF(E33="Moderada",0.4,IF(E33="Grande",0.9,IF(E33="Esencial",1,"-")))))</f>
        <v>0.1</v>
      </c>
      <c r="H33" s="68">
        <f>IF(F33="-","-",AVERAGE(F33:G33))</f>
        <v>0.05</v>
      </c>
      <c r="I33" s="69">
        <v>149</v>
      </c>
      <c r="J33" s="70">
        <v>12412</v>
      </c>
      <c r="K33" s="71">
        <f>IF(J33="-",0,I33*J33)</f>
        <v>1849388</v>
      </c>
      <c r="L33" s="72">
        <f>IF(H33="-","-",K33*H33)</f>
        <v>92469.40000000001</v>
      </c>
      <c r="M33" s="73">
        <f>IF($H33="-","-",(($K33/(-0.8+1)*((1/(1-$H33))^(-0.8+1)-1))))</f>
        <v>95349.44562539597</v>
      </c>
      <c r="N33" s="73">
        <f>IF($H33="-","-",(($K33/(-1.2+1)*((1/(1-$H33))^(-1.2+1)-1))))</f>
        <v>94376.28836731853</v>
      </c>
      <c r="O33" s="57"/>
    </row>
    <row r="34" spans="1:15" ht="16.5">
      <c r="A34" s="64" t="s">
        <v>118</v>
      </c>
      <c r="B34" s="64" t="s">
        <v>119</v>
      </c>
      <c r="C34" s="65" t="s">
        <v>120</v>
      </c>
      <c r="D34" s="66" t="s">
        <v>40</v>
      </c>
      <c r="E34" s="67" t="s">
        <v>68</v>
      </c>
      <c r="F34" s="68">
        <f>IF(E34="No aumenta",0,IF(E34="Pequeña",0,IF(E34="Moderada",0.1,IF(E34="Grande",0.4,IF(E34="Esencial",0.9,"-")))))</f>
        <v>0</v>
      </c>
      <c r="G34" s="68">
        <f>IF(E34="No aumenta",0,IF(E34="Pequeña",0.1,IF(E34="Moderada",0.4,IF(E34="Grande",0.9,IF(E34="Esencial",1,"-")))))</f>
        <v>0</v>
      </c>
      <c r="H34" s="68">
        <f>IF(F34="-","-",AVERAGE(F34:G34))</f>
        <v>0</v>
      </c>
      <c r="I34" s="69">
        <v>601</v>
      </c>
      <c r="J34" s="70">
        <f>508+198372+22950</f>
        <v>221830</v>
      </c>
      <c r="K34" s="71">
        <f>IF(J34="-",0,I34*J34)</f>
        <v>133319830</v>
      </c>
      <c r="L34" s="72">
        <f>IF(H34="-","-",K34*H34)</f>
        <v>0</v>
      </c>
      <c r="M34" s="73">
        <f>IF($H34="-","-",(($K34/(-0.8+1)*((1/(1-$H34))^(-0.8+1)-1))))</f>
        <v>0</v>
      </c>
      <c r="N34" s="73">
        <f>IF($H34="-","-",(($K34/(-1.2+1)*((1/(1-$H34))^(-1.2+1)-1))))</f>
        <v>0</v>
      </c>
      <c r="O34" s="57"/>
    </row>
    <row r="35" spans="1:15" ht="29.25">
      <c r="A35" s="64" t="s">
        <v>131</v>
      </c>
      <c r="B35" s="64" t="s">
        <v>132</v>
      </c>
      <c r="C35" s="65" t="s">
        <v>133</v>
      </c>
      <c r="D35" s="66" t="s">
        <v>40</v>
      </c>
      <c r="E35" s="67" t="s">
        <v>72</v>
      </c>
      <c r="F35" s="68">
        <v>0</v>
      </c>
      <c r="G35" s="68">
        <v>0.1</v>
      </c>
      <c r="H35" s="68">
        <v>0.05</v>
      </c>
      <c r="I35" s="69">
        <v>164.4</v>
      </c>
      <c r="J35" s="70">
        <v>122508</v>
      </c>
      <c r="K35" s="71">
        <f>IF(J35="-",0,I35*J35)</f>
        <v>20140315.2</v>
      </c>
      <c r="L35" s="72">
        <f>IF(H35="-","-",K35*H35)</f>
        <v>1007015.76</v>
      </c>
      <c r="M35" s="73">
        <f>IF($H35="-","-",(($K35/(-0.8+1)*((1/(1-$H35))^(-0.8+1)-1))))</f>
        <v>1038380.2041760494</v>
      </c>
      <c r="N35" s="73">
        <f>IF($H35="-","-",(($K35/(-1.2+1)*((1/(1-$H35))^(-1.2+1)-1))))</f>
        <v>1027782.2691203189</v>
      </c>
      <c r="O35" s="57"/>
    </row>
    <row r="36" spans="1:15" ht="16.5">
      <c r="A36" s="134" t="s">
        <v>134</v>
      </c>
      <c r="B36" s="134" t="s">
        <v>135</v>
      </c>
      <c r="C36" s="135" t="s">
        <v>136</v>
      </c>
      <c r="D36" s="95" t="s">
        <v>50</v>
      </c>
      <c r="E36" s="136" t="s">
        <v>68</v>
      </c>
      <c r="F36" s="137">
        <v>0</v>
      </c>
      <c r="G36" s="137">
        <v>0</v>
      </c>
      <c r="H36" s="137">
        <v>0</v>
      </c>
      <c r="I36" s="138">
        <v>761.9</v>
      </c>
      <c r="J36" s="139">
        <v>56</v>
      </c>
      <c r="K36" s="140">
        <f>IF(J36="-",0,I36*J36)</f>
        <v>42666.4</v>
      </c>
      <c r="L36" s="141">
        <f>IF(H36="-","-",K36*H36)</f>
        <v>0</v>
      </c>
      <c r="M36" s="142">
        <f>IF($H36="-","-",(($K36/(-0.8+1)*((1/(1-$H36))^(-0.8+1)-1))))</f>
        <v>0</v>
      </c>
      <c r="N36" s="142">
        <f>IF($H36="-","-",(($K36/(-1.2+1)*((1/(1-$H36))^(-1.2+1)-1))))</f>
        <v>0</v>
      </c>
      <c r="O36" s="57"/>
    </row>
    <row r="37" spans="1:15" ht="42.75">
      <c r="A37" s="85" t="s">
        <v>137</v>
      </c>
      <c r="B37" s="85" t="s">
        <v>138</v>
      </c>
      <c r="C37" s="86" t="s">
        <v>139</v>
      </c>
      <c r="D37" s="87" t="s">
        <v>48</v>
      </c>
      <c r="E37" s="88" t="s">
        <v>49</v>
      </c>
      <c r="F37" s="89" t="str">
        <f>IF(E37="No aumenta",0,IF(E37="Pequeña",0,IF(E37="Moderada",0.1,IF(E37="Grande",0.4,IF(E37="Esencial",0.9,"-")))))</f>
        <v>-</v>
      </c>
      <c r="G37" s="89" t="str">
        <f>IF(E37="No aumenta",0,IF(E37="Pequeña",0.1,IF(E37="Moderada",0.4,IF(E37="Grande",0.9,IF(E37="Esencial",1,"-")))))</f>
        <v>-</v>
      </c>
      <c r="H37" s="89" t="str">
        <f>IF(F37="-","-",AVERAGE(F37:G37))</f>
        <v>-</v>
      </c>
      <c r="I37" s="90">
        <v>300</v>
      </c>
      <c r="J37" s="91">
        <v>295336</v>
      </c>
      <c r="K37" s="92">
        <f>IF(J37="-",0,I37*J37)</f>
        <v>88600800</v>
      </c>
      <c r="L37" s="93" t="str">
        <f>IF(H37="-","-",K37*H37)</f>
        <v>-</v>
      </c>
      <c r="M37" s="94" t="str">
        <f>IF($H37="-","-",(($K37/(-0.8+1)*((1/(1-$H37))^(-0.8+1)-1))))</f>
        <v>-</v>
      </c>
      <c r="N37" s="94" t="str">
        <f>IF($H37="-","-",(($K37/(-1.2+1)*((1/(1-$H37))^(-1.2+1)-1))))</f>
        <v>-</v>
      </c>
      <c r="O37" s="57"/>
    </row>
    <row r="38" spans="1:15" ht="16.5">
      <c r="A38" s="134" t="s">
        <v>140</v>
      </c>
      <c r="B38" s="134" t="s">
        <v>141</v>
      </c>
      <c r="C38" s="172" t="s">
        <v>142</v>
      </c>
      <c r="D38" s="173" t="s">
        <v>50</v>
      </c>
      <c r="E38" s="137" t="s">
        <v>68</v>
      </c>
      <c r="F38" s="137">
        <v>0</v>
      </c>
      <c r="G38" s="137">
        <v>0</v>
      </c>
      <c r="H38" s="137">
        <v>0</v>
      </c>
      <c r="I38" s="138">
        <v>238.5</v>
      </c>
      <c r="J38" s="139">
        <v>841</v>
      </c>
      <c r="K38" s="140">
        <f>IF(J38="-",0,I38*J38)</f>
        <v>200578.5</v>
      </c>
      <c r="L38" s="141">
        <f>IF(H38="-","-",K38*H38)</f>
        <v>0</v>
      </c>
      <c r="M38" s="142">
        <f>IF($H38="-","-",(($K38/(-0.8+1)*((1/(1-$H38))^(-0.8+1)-1))))</f>
        <v>0</v>
      </c>
      <c r="N38" s="142">
        <f>IF($H38="-","-",(($K38/(-1.2+1)*((1/(1-$H38))^(-1.2+1)-1))))</f>
        <v>0</v>
      </c>
      <c r="O38" s="57"/>
    </row>
    <row r="39" spans="1:15" ht="16.5">
      <c r="A39" s="119" t="s">
        <v>143</v>
      </c>
      <c r="B39" s="119" t="s">
        <v>144</v>
      </c>
      <c r="C39" s="120" t="s">
        <v>145</v>
      </c>
      <c r="D39" s="121" t="s">
        <v>36</v>
      </c>
      <c r="E39" s="122" t="s">
        <v>68</v>
      </c>
      <c r="F39" s="123">
        <v>0</v>
      </c>
      <c r="G39" s="123">
        <v>0</v>
      </c>
      <c r="H39" s="123">
        <v>0</v>
      </c>
      <c r="I39" s="124">
        <v>216.9</v>
      </c>
      <c r="J39" s="125">
        <v>360770</v>
      </c>
      <c r="K39" s="126">
        <f>IF(J39="-",0,I39*J39)</f>
        <v>78251013</v>
      </c>
      <c r="L39" s="127">
        <f>IF(H39="-","-",K39*H39)</f>
        <v>0</v>
      </c>
      <c r="M39" s="128">
        <f>IF($H39="-","-",(($K39/(-0.8+1)*((1/(1-$H39))^(-0.8+1)-1))))</f>
        <v>0</v>
      </c>
      <c r="N39" s="128">
        <f>IF($H39="-","-",(($K39/(-1.2+1)*((1/(1-$H39))^(-1.2+1)-1))))</f>
        <v>0</v>
      </c>
      <c r="O39" s="57"/>
    </row>
    <row r="40" spans="1:15" ht="29.25">
      <c r="A40" s="85" t="s">
        <v>146</v>
      </c>
      <c r="B40" s="85" t="s">
        <v>147</v>
      </c>
      <c r="C40" s="86" t="s">
        <v>148</v>
      </c>
      <c r="D40" s="87" t="s">
        <v>48</v>
      </c>
      <c r="E40" s="88" t="s">
        <v>68</v>
      </c>
      <c r="F40" s="89">
        <f>IF(E40="No aumenta",0,IF(E40="Pequeña",0,IF(E40="Moderada",0.1,IF(E40="Grande",0.4,IF(E40="Esencial",0.9,"-")))))</f>
        <v>0</v>
      </c>
      <c r="G40" s="89">
        <f>IF(E40="No aumenta",0,IF(E40="Pequeña",0.1,IF(E40="Moderada",0.4,IF(E40="Grande",0.9,IF(E40="Esencial",1,"-")))))</f>
        <v>0</v>
      </c>
      <c r="H40" s="89">
        <f>IF(F40="-","-",AVERAGE(F40:G40))</f>
        <v>0</v>
      </c>
      <c r="I40" s="90">
        <v>1034.6</v>
      </c>
      <c r="J40" s="91">
        <f>250+200</f>
        <v>450</v>
      </c>
      <c r="K40" s="92">
        <f>IF(J40="-",0,I40*J40)</f>
        <v>465569.99999999994</v>
      </c>
      <c r="L40" s="93">
        <f>IF(H40="-","-",K40*H40)</f>
        <v>0</v>
      </c>
      <c r="M40" s="94">
        <f>IF($H40="-","-",(($K40/(-0.8+1)*((1/(1-$H40))^(-0.8+1)-1))))</f>
        <v>0</v>
      </c>
      <c r="N40" s="94">
        <f>IF($H40="-","-",(($K40/(-1.2+1)*((1/(1-$H40))^(-1.2+1)-1))))</f>
        <v>0</v>
      </c>
      <c r="O40" s="57"/>
    </row>
    <row r="41" spans="1:15" ht="16.5">
      <c r="A41" s="119" t="s">
        <v>149</v>
      </c>
      <c r="B41" s="119" t="s">
        <v>150</v>
      </c>
      <c r="C41" s="120" t="s">
        <v>151</v>
      </c>
      <c r="D41" s="121" t="s">
        <v>36</v>
      </c>
      <c r="E41" s="122" t="s">
        <v>68</v>
      </c>
      <c r="F41" s="123">
        <v>0</v>
      </c>
      <c r="G41" s="123">
        <v>0</v>
      </c>
      <c r="H41" s="123">
        <v>0</v>
      </c>
      <c r="I41" s="124">
        <v>181.5</v>
      </c>
      <c r="J41" s="125">
        <v>215408</v>
      </c>
      <c r="K41" s="126">
        <f>IF(J41="-",0,I41*J41)</f>
        <v>39096552</v>
      </c>
      <c r="L41" s="127">
        <f>IF(H41="-","-",K41*H41)</f>
        <v>0</v>
      </c>
      <c r="M41" s="128">
        <f>IF($H41="-","-",(($K41/(-0.8+1)*((1/(1-$H41))^(-0.8+1)-1))))</f>
        <v>0</v>
      </c>
      <c r="N41" s="128">
        <f>IF($H41="-","-",(($K41/(-1.2+1)*((1/(1-$H41))^(-1.2+1)-1))))</f>
        <v>0</v>
      </c>
      <c r="O41" s="57"/>
    </row>
    <row r="42" spans="1:15" ht="16.5">
      <c r="A42" s="174" t="s">
        <v>152</v>
      </c>
      <c r="B42" s="174" t="s">
        <v>153</v>
      </c>
      <c r="C42" s="175" t="s">
        <v>154</v>
      </c>
      <c r="D42" s="79" t="s">
        <v>44</v>
      </c>
      <c r="E42" s="176" t="s">
        <v>68</v>
      </c>
      <c r="F42" s="177">
        <f>IF(E42="No aumenta",0,IF(E42="Pequeña",0,IF(E42="Moderada",0.1,IF(E42="Grande",0.4,IF(E42="Esencial",0.9,"-")))))</f>
        <v>0</v>
      </c>
      <c r="G42" s="177">
        <f>IF(E42="No aumenta",0,IF(E42="Pequeña",0.1,IF(E42="Moderada",0.4,IF(E42="Grande",0.9,IF(E42="Esencial",1,"-")))))</f>
        <v>0</v>
      </c>
      <c r="H42" s="177">
        <f>IF(F42="-","-",AVERAGE(F42:G42))</f>
        <v>0</v>
      </c>
      <c r="I42" s="178">
        <v>396.6</v>
      </c>
      <c r="J42" s="179">
        <f>360227+6181398</f>
        <v>6541625</v>
      </c>
      <c r="K42" s="180">
        <f>IF(J42="-",0,I42*J42)</f>
        <v>2594408475</v>
      </c>
      <c r="L42" s="181">
        <f>IF(H42="-","-",K42*H42)</f>
        <v>0</v>
      </c>
      <c r="M42" s="182">
        <f>IF($H42="-","-",(($K42/(-0.8+1)*((1/(1-$H42))^(-0.8+1)-1))))</f>
        <v>0</v>
      </c>
      <c r="N42" s="182">
        <f>IF($H42="-","-",(($K42/(-1.2+1)*((1/(1-$H42))^(-1.2+1)-1))))</f>
        <v>0</v>
      </c>
      <c r="O42" s="57"/>
    </row>
    <row r="43" spans="1:15" ht="42.75">
      <c r="A43" s="85" t="s">
        <v>155</v>
      </c>
      <c r="B43" s="85" t="s">
        <v>156</v>
      </c>
      <c r="C43" s="86" t="s">
        <v>157</v>
      </c>
      <c r="D43" s="87" t="s">
        <v>48</v>
      </c>
      <c r="E43" s="88" t="s">
        <v>49</v>
      </c>
      <c r="F43" s="89" t="s">
        <v>63</v>
      </c>
      <c r="G43" s="89" t="s">
        <v>63</v>
      </c>
      <c r="H43" s="89" t="s">
        <v>63</v>
      </c>
      <c r="I43" s="90">
        <v>677.7</v>
      </c>
      <c r="J43" s="91">
        <v>13643</v>
      </c>
      <c r="K43" s="92">
        <f>IF(J43="-",0,I43*J43)</f>
        <v>9245861.100000001</v>
      </c>
      <c r="L43" s="93" t="str">
        <f>IF(H43="-","-",K43*H43)</f>
        <v>-</v>
      </c>
      <c r="M43" s="94" t="str">
        <f>IF($H43="-","-",(($K43/(-0.8+1)*((1/(1-$H43))^(-0.8+1)-1))))</f>
        <v>-</v>
      </c>
      <c r="N43" s="94" t="str">
        <f>IF($H43="-","-",(($K43/(-1.2+1)*((1/(1-$H43))^(-1.2+1)-1))))</f>
        <v>-</v>
      </c>
      <c r="O43" s="57"/>
    </row>
    <row r="44" spans="1:15" ht="42.75">
      <c r="A44" s="85" t="s">
        <v>158</v>
      </c>
      <c r="B44" s="85" t="s">
        <v>159</v>
      </c>
      <c r="C44" s="86" t="s">
        <v>157</v>
      </c>
      <c r="D44" s="87" t="s">
        <v>48</v>
      </c>
      <c r="E44" s="88" t="s">
        <v>49</v>
      </c>
      <c r="F44" s="89" t="s">
        <v>63</v>
      </c>
      <c r="G44" s="89" t="s">
        <v>63</v>
      </c>
      <c r="H44" s="89" t="s">
        <v>63</v>
      </c>
      <c r="I44" s="90">
        <v>174.9</v>
      </c>
      <c r="J44" s="91">
        <v>151491</v>
      </c>
      <c r="K44" s="92">
        <f>IF(J44="-",0,I44*J44)</f>
        <v>26495775.900000002</v>
      </c>
      <c r="L44" s="93" t="str">
        <f>IF(H44="-","-",K44*H44)</f>
        <v>-</v>
      </c>
      <c r="M44" s="94" t="str">
        <f>IF($H44="-","-",(($K44/(-0.8+1)*((1/(1-$H44))^(-0.8+1)-1))))</f>
        <v>-</v>
      </c>
      <c r="N44" s="94" t="str">
        <f>IF($H44="-","-",(($K44/(-1.2+1)*((1/(1-$H44))^(-1.2+1)-1))))</f>
        <v>-</v>
      </c>
      <c r="O44" s="57"/>
    </row>
    <row r="45" spans="1:15" ht="16.5">
      <c r="A45" s="64" t="s">
        <v>160</v>
      </c>
      <c r="B45" s="64" t="s">
        <v>161</v>
      </c>
      <c r="C45" s="65" t="s">
        <v>162</v>
      </c>
      <c r="D45" s="66" t="s">
        <v>40</v>
      </c>
      <c r="E45" s="67" t="s">
        <v>72</v>
      </c>
      <c r="F45" s="68">
        <v>0</v>
      </c>
      <c r="G45" s="68">
        <v>0.1</v>
      </c>
      <c r="H45" s="68">
        <v>0.05</v>
      </c>
      <c r="I45" s="69">
        <v>198.6</v>
      </c>
      <c r="J45" s="70">
        <v>1236835</v>
      </c>
      <c r="K45" s="71">
        <f>IF(J45="-",0,I45*J45)</f>
        <v>245635431</v>
      </c>
      <c r="L45" s="72">
        <f>IF(H45="-","-",K45*H45)</f>
        <v>12281771.55</v>
      </c>
      <c r="M45" s="73">
        <f>IF($H45="-","-",(($K45/(-0.8+1)*((1/(1-$H45))^(-0.8+1)-1))))</f>
        <v>12664298.769000988</v>
      </c>
      <c r="N45" s="73">
        <f>IF($H45="-","-",(($K45/(-1.2+1)*((1/(1-$H45))^(-1.2+1)-1))))</f>
        <v>12535044.17098336</v>
      </c>
      <c r="O45" s="57"/>
    </row>
    <row r="46" spans="1:15" ht="56.25">
      <c r="A46" s="85" t="s">
        <v>163</v>
      </c>
      <c r="B46" s="85" t="s">
        <v>164</v>
      </c>
      <c r="C46" s="86" t="s">
        <v>165</v>
      </c>
      <c r="D46" s="87" t="s">
        <v>48</v>
      </c>
      <c r="E46" s="88" t="s">
        <v>130</v>
      </c>
      <c r="F46" s="89">
        <f>IF(E46="No aumenta",0,IF(E46="Pequeña",0,IF(E46="Moderada",0.1,IF(E46="Grande",0.4,IF(E46="Esencial",0.9,"-")))))</f>
        <v>0.9</v>
      </c>
      <c r="G46" s="89">
        <f>IF(E46="No aumenta",0,IF(E46="Pequeña",0.1,IF(E46="Moderada",0.4,IF(E46="Grande",0.9,IF(E46="Esencial",1,"-")))))</f>
        <v>1</v>
      </c>
      <c r="H46" s="89">
        <f>IF(F46="-","-",AVERAGE(F46:G46))</f>
        <v>0.95</v>
      </c>
      <c r="I46" s="90">
        <v>259.9</v>
      </c>
      <c r="J46" s="91">
        <v>208557</v>
      </c>
      <c r="K46" s="92">
        <f>IF(J46="-",0,I46*J46)</f>
        <v>54203964.3</v>
      </c>
      <c r="L46" s="93">
        <f>IF(H46="-","-",K46*H46)</f>
        <v>51493766.08499999</v>
      </c>
      <c r="M46" s="94">
        <f>IF($H46="-","-",(($K46/(-0.8+1)*((1/(1-$H46))^(-0.8+1)-1))))</f>
        <v>222389163.83341795</v>
      </c>
      <c r="N46" s="94">
        <f>IF($H46="-","-",(($K46/(-1.2+1)*((1/(1-$H46))^(-1.2+1)-1))))</f>
        <v>122153980.32311645</v>
      </c>
      <c r="O46" s="57"/>
    </row>
    <row r="47" spans="1:15" ht="42.75">
      <c r="A47" s="64" t="s">
        <v>166</v>
      </c>
      <c r="B47" s="64" t="s">
        <v>167</v>
      </c>
      <c r="C47" s="65" t="s">
        <v>168</v>
      </c>
      <c r="D47" s="66" t="s">
        <v>40</v>
      </c>
      <c r="E47" s="67" t="s">
        <v>35</v>
      </c>
      <c r="F47" s="68">
        <v>0.4</v>
      </c>
      <c r="G47" s="68">
        <v>0.9</v>
      </c>
      <c r="H47" s="68">
        <v>0.65</v>
      </c>
      <c r="I47" s="69">
        <v>532.1</v>
      </c>
      <c r="J47" s="70">
        <f>82613+80736</f>
        <v>163349</v>
      </c>
      <c r="K47" s="71">
        <f>IF(J47="-",0,I47*J47)</f>
        <v>86918002.9</v>
      </c>
      <c r="L47" s="72">
        <f>IF(H47="-","-",K47*H47)</f>
        <v>56496701.885000005</v>
      </c>
      <c r="M47" s="73">
        <f>IF($H47="-","-",(($K47/(-0.8+1)*((1/(1-$H47))^(-0.8+1)-1))))</f>
        <v>101535078.42173722</v>
      </c>
      <c r="N47" s="73">
        <f>IF($H47="-","-",(($K47/(-1.2+1)*((1/(1-$H47))^(-1.2+1)-1))))</f>
        <v>82305662.96213798</v>
      </c>
      <c r="O47" s="57"/>
    </row>
    <row r="48" spans="1:15" ht="16.5">
      <c r="A48" s="64" t="s">
        <v>169</v>
      </c>
      <c r="B48" s="64" t="s">
        <v>170</v>
      </c>
      <c r="C48" s="65" t="s">
        <v>171</v>
      </c>
      <c r="D48" s="66" t="s">
        <v>40</v>
      </c>
      <c r="E48" s="67" t="s">
        <v>35</v>
      </c>
      <c r="F48" s="68">
        <v>0.4</v>
      </c>
      <c r="G48" s="68">
        <v>0.9</v>
      </c>
      <c r="H48" s="68">
        <v>0.65</v>
      </c>
      <c r="I48" s="69">
        <v>427.4</v>
      </c>
      <c r="J48" s="70">
        <v>8942</v>
      </c>
      <c r="K48" s="71">
        <f>IF(J48="-",0,I48*J48)</f>
        <v>3821810.8</v>
      </c>
      <c r="L48" s="72">
        <f>IF(H48="-","-",K48*H48)</f>
        <v>2484177.02</v>
      </c>
      <c r="M48" s="73">
        <f>IF($H48="-","-",(($K48/(-0.8+1)*((1/(1-$H48))^(-0.8+1)-1))))</f>
        <v>4464528.018867334</v>
      </c>
      <c r="N48" s="73">
        <f>IF($H48="-","-",(($K48/(-1.2+1)*((1/(1-$H48))^(-1.2+1)-1))))</f>
        <v>3619004.8219556934</v>
      </c>
      <c r="O48" s="57"/>
    </row>
    <row r="49" spans="1:15" ht="29.25">
      <c r="A49" s="134" t="s">
        <v>172</v>
      </c>
      <c r="B49" s="134" t="s">
        <v>173</v>
      </c>
      <c r="C49" s="135" t="s">
        <v>174</v>
      </c>
      <c r="D49" s="95" t="s">
        <v>50</v>
      </c>
      <c r="E49" s="136" t="s">
        <v>68</v>
      </c>
      <c r="F49" s="137">
        <f>IF(E49="No aumenta",0,IF(E49="Pequeña",0,IF(E49="Moderada",0.1,IF(E49="Grande",0.4,IF(E49="Esencial",0.9,"-")))))</f>
        <v>0</v>
      </c>
      <c r="G49" s="137">
        <f>IF(E49="No aumenta",0,IF(E49="Pequeña",0.1,IF(E49="Moderada",0.4,IF(E49="Grande",0.9,IF(E49="Esencial",1,"-")))))</f>
        <v>0</v>
      </c>
      <c r="H49" s="137">
        <f>IF(F49="-","-",AVERAGE(F49:G49))</f>
        <v>0</v>
      </c>
      <c r="I49" s="138">
        <v>223.6</v>
      </c>
      <c r="J49" s="139">
        <v>9783</v>
      </c>
      <c r="K49" s="140">
        <f>IF(J49="-",0,I49*J49)</f>
        <v>2187478.8</v>
      </c>
      <c r="L49" s="141">
        <f>IF(H49="-","-",K49*H49)</f>
        <v>0</v>
      </c>
      <c r="M49" s="142">
        <f>IF($H49="-","-",(($K49/(-0.8+1)*((1/(1-$H49))^(-0.8+1)-1))))</f>
        <v>0</v>
      </c>
      <c r="N49" s="142">
        <f>IF($H49="-","-",(($K49/(-1.2+1)*((1/(1-$H49))^(-1.2+1)-1))))</f>
        <v>0</v>
      </c>
      <c r="O49" s="57"/>
    </row>
    <row r="50" spans="1:15" ht="29.25">
      <c r="A50" s="85" t="s">
        <v>175</v>
      </c>
      <c r="B50" s="85" t="s">
        <v>176</v>
      </c>
      <c r="C50" s="86" t="s">
        <v>174</v>
      </c>
      <c r="D50" s="87" t="s">
        <v>48</v>
      </c>
      <c r="E50" s="88" t="s">
        <v>68</v>
      </c>
      <c r="F50" s="89">
        <f>IF(E50="No aumenta",0,IF(E50="Pequeña",0,IF(E50="Moderada",0.1,IF(E50="Grande",0.4,IF(E50="Esencial",0.9,"-")))))</f>
        <v>0</v>
      </c>
      <c r="G50" s="89">
        <f>IF(E50="No aumenta",0,IF(E50="Pequeña",0.1,IF(E50="Moderada",0.4,IF(E50="Grande",0.9,IF(E50="Esencial",1,"-")))))</f>
        <v>0</v>
      </c>
      <c r="H50" s="89">
        <f>IF(F50="-","-",AVERAGE(F50:G50))</f>
        <v>0</v>
      </c>
      <c r="I50" s="90">
        <v>1847.6</v>
      </c>
      <c r="J50" s="91">
        <v>6577</v>
      </c>
      <c r="K50" s="92">
        <f>IF(J50="-",0,I50*J50)</f>
        <v>12151665.2</v>
      </c>
      <c r="L50" s="93">
        <f>IF(H50="-","-",K50*H50)</f>
        <v>0</v>
      </c>
      <c r="M50" s="94">
        <f>IF($H50="-","-",(($K50/(-0.8+1)*((1/(1-$H50))^(-0.8+1)-1))))</f>
        <v>0</v>
      </c>
      <c r="N50" s="94">
        <f>IF($H50="-","-",(($K50/(-1.2+1)*((1/(1-$H50))^(-1.2+1)-1))))</f>
        <v>0</v>
      </c>
      <c r="O50" s="57"/>
    </row>
    <row r="51" spans="1:15" ht="29.25">
      <c r="A51" s="64" t="s">
        <v>177</v>
      </c>
      <c r="B51" s="64" t="s">
        <v>178</v>
      </c>
      <c r="C51" s="65" t="s">
        <v>179</v>
      </c>
      <c r="D51" s="66" t="s">
        <v>40</v>
      </c>
      <c r="E51" s="67" t="s">
        <v>35</v>
      </c>
      <c r="F51" s="68">
        <v>0.4</v>
      </c>
      <c r="G51" s="68">
        <v>0.9</v>
      </c>
      <c r="H51" s="68">
        <v>0.65</v>
      </c>
      <c r="I51" s="69">
        <v>471.3</v>
      </c>
      <c r="J51" s="70">
        <v>42223</v>
      </c>
      <c r="K51" s="71">
        <f>IF(J51="-",0,I51*J51)</f>
        <v>19899699.900000002</v>
      </c>
      <c r="L51" s="72">
        <f>IF(H51="-","-",K51*H51)</f>
        <v>12934804.935000002</v>
      </c>
      <c r="M51" s="73">
        <f>IF($H51="-","-",(($K51/(-0.8+1)*((1/(1-$H51))^(-0.8+1)-1))))</f>
        <v>23246249.597337864</v>
      </c>
      <c r="N51" s="73">
        <f>IF($H51="-","-",(($K51/(-1.2+1)*((1/(1-$H51))^(-1.2+1)-1))))</f>
        <v>18843714.05658575</v>
      </c>
      <c r="O51" s="57"/>
    </row>
    <row r="52" spans="1:15" ht="42.75">
      <c r="A52" s="183" t="s">
        <v>180</v>
      </c>
      <c r="B52" s="183" t="s">
        <v>181</v>
      </c>
      <c r="C52" s="184" t="s">
        <v>182</v>
      </c>
      <c r="D52" s="101" t="s">
        <v>54</v>
      </c>
      <c r="E52" s="185" t="s">
        <v>62</v>
      </c>
      <c r="F52" s="186" t="s">
        <v>63</v>
      </c>
      <c r="G52" s="186" t="s">
        <v>63</v>
      </c>
      <c r="H52" s="186" t="s">
        <v>63</v>
      </c>
      <c r="I52" s="187">
        <v>212.7</v>
      </c>
      <c r="J52" s="188">
        <v>350500</v>
      </c>
      <c r="K52" s="189">
        <f>IF(J52="-",0,I52*J52)</f>
        <v>74551350</v>
      </c>
      <c r="L52" s="190" t="str">
        <f>IF(H52="-","-",K52*H52)</f>
        <v>-</v>
      </c>
      <c r="M52" s="191" t="str">
        <f>IF($H52="-","-",(($K52/(-0.8+1)*((1/(1-$H52))^(-0.8+1)-1))))</f>
        <v>-</v>
      </c>
      <c r="N52" s="191" t="str">
        <f>IF($H52="-","-",(($K52/(-1.2+1)*((1/(1-$H52))^(-1.2+1)-1))))</f>
        <v>-</v>
      </c>
      <c r="O52" s="57"/>
    </row>
    <row r="53" spans="1:15" ht="42.75">
      <c r="A53" s="85" t="s">
        <v>251</v>
      </c>
      <c r="B53" s="85" t="s">
        <v>184</v>
      </c>
      <c r="C53" s="86" t="s">
        <v>185</v>
      </c>
      <c r="D53" s="87" t="s">
        <v>48</v>
      </c>
      <c r="E53" s="88" t="s">
        <v>130</v>
      </c>
      <c r="F53" s="89">
        <f>IF(E53="No aumenta",0,IF(E53="Pequeña",0,IF(E53="Moderada",0.1,IF(E53="Grande",0.4,IF(E53="Esencial",0.9,"-")))))</f>
        <v>0.9</v>
      </c>
      <c r="G53" s="89">
        <f>IF(E53="No aumenta",0,IF(E53="Pequeña",0.1,IF(E53="Moderada",0.4,IF(E53="Grande",0.9,IF(E53="Esencial",1,"-")))))</f>
        <v>1</v>
      </c>
      <c r="H53" s="89">
        <f>IF(F53="-","-",AVERAGE(F53:G53))</f>
        <v>0.95</v>
      </c>
      <c r="I53" s="90">
        <v>333.5</v>
      </c>
      <c r="J53" s="91">
        <f>7441+337721</f>
        <v>345162</v>
      </c>
      <c r="K53" s="92">
        <f>IF(J53="-",0,I53*J53)</f>
        <v>115111527</v>
      </c>
      <c r="L53" s="93">
        <f>IF(H53="-","-",K53*H53)</f>
        <v>109355950.64999999</v>
      </c>
      <c r="M53" s="94">
        <f>IF($H53="-","-",(($K53/(-0.8+1)*((1/(1-$H53))^(-0.8+1)-1))))</f>
        <v>472281992.05935043</v>
      </c>
      <c r="N53" s="94">
        <f>IF($H53="-","-",(($K53/(-1.2+1)*((1/(1-$H53))^(-1.2+1)-1))))</f>
        <v>259415180.89520785</v>
      </c>
      <c r="O53" s="57"/>
    </row>
    <row r="54" spans="1:15" ht="16.5">
      <c r="A54" s="64" t="s">
        <v>186</v>
      </c>
      <c r="B54" s="64" t="s">
        <v>187</v>
      </c>
      <c r="C54" s="192" t="s">
        <v>188</v>
      </c>
      <c r="D54" s="66" t="s">
        <v>40</v>
      </c>
      <c r="E54" s="67" t="s">
        <v>35</v>
      </c>
      <c r="F54" s="68">
        <v>0.4</v>
      </c>
      <c r="G54" s="68">
        <v>0.9</v>
      </c>
      <c r="H54" s="68">
        <v>0.65</v>
      </c>
      <c r="I54" s="69">
        <v>316.1</v>
      </c>
      <c r="J54" s="70">
        <v>10087</v>
      </c>
      <c r="K54" s="71">
        <f>IF(J54="-",0,I54*J54)</f>
        <v>3188500.7</v>
      </c>
      <c r="L54" s="72">
        <f>IF(H54="-","-",K54*H54)</f>
        <v>2072525.4550000003</v>
      </c>
      <c r="M54" s="73">
        <f>IF($H54="-","-",(($K54/(-0.8+1)*((1/(1-$H54))^(-0.8+1)-1))))</f>
        <v>3724713.6130674263</v>
      </c>
      <c r="N54" s="73">
        <f>IF($H54="-","-",(($K54/(-1.2+1)*((1/(1-$H54))^(-1.2+1)-1))))</f>
        <v>3019301.5855492125</v>
      </c>
      <c r="O54" s="57"/>
    </row>
    <row r="55" spans="1:15" ht="16.5">
      <c r="A55" s="174" t="s">
        <v>189</v>
      </c>
      <c r="B55" s="174" t="s">
        <v>190</v>
      </c>
      <c r="C55" s="193" t="s">
        <v>191</v>
      </c>
      <c r="D55" s="79" t="s">
        <v>44</v>
      </c>
      <c r="E55" s="176" t="s">
        <v>79</v>
      </c>
      <c r="F55" s="177">
        <f>IF(E55="No aumenta",0,IF(E55="Pequeña",0,IF(E55="Moderada",0.1,IF(E55="Grande",0.4,IF(E55="Esencial",0.9,"-")))))</f>
        <v>0.1</v>
      </c>
      <c r="G55" s="177">
        <f>IF(E55="No aumenta",0,IF(E55="Pequeña",0.1,IF(E55="Moderada",0.4,IF(E55="Grande",0.9,IF(E55="Esencial",1,"-")))))</f>
        <v>0.4</v>
      </c>
      <c r="H55" s="177">
        <f>IF(F55="-","-",AVERAGE(F55:G55))</f>
        <v>0.25</v>
      </c>
      <c r="I55" s="178">
        <v>283.3</v>
      </c>
      <c r="J55" s="179">
        <v>1522</v>
      </c>
      <c r="K55" s="180">
        <f>IF(J55="-",0,I55*J55)</f>
        <v>431182.60000000003</v>
      </c>
      <c r="L55" s="181">
        <f>IF(H55="-","-",K55*H55)</f>
        <v>107795.65000000001</v>
      </c>
      <c r="M55" s="182">
        <f>IF($H55="-","-",(($K55/(-0.8+1)*((1/(1-$H55))^(-0.8+1)-1))))</f>
        <v>127681.44882706783</v>
      </c>
      <c r="N55" s="182">
        <f>IF($H55="-","-",(($K55/(-1.2+1)*((1/(1-$H55))^(-1.2+1)-1))))</f>
        <v>120542.461261674</v>
      </c>
      <c r="O55" s="57"/>
    </row>
    <row r="56" spans="1:15" ht="29.25">
      <c r="A56" s="64" t="s">
        <v>192</v>
      </c>
      <c r="B56" s="64" t="s">
        <v>193</v>
      </c>
      <c r="C56" s="192" t="s">
        <v>194</v>
      </c>
      <c r="D56" s="171" t="s">
        <v>40</v>
      </c>
      <c r="E56" s="68" t="s">
        <v>35</v>
      </c>
      <c r="F56" s="68">
        <v>0.4</v>
      </c>
      <c r="G56" s="68">
        <v>0.9</v>
      </c>
      <c r="H56" s="68">
        <v>0.65</v>
      </c>
      <c r="I56" s="69">
        <v>4404.7</v>
      </c>
      <c r="J56" s="70">
        <v>8629</v>
      </c>
      <c r="K56" s="71">
        <f>IF(J56="-",0,I56*J56)</f>
        <v>38008156.3</v>
      </c>
      <c r="L56" s="72">
        <f>IF(H56="-","-",K56*H56)</f>
        <v>24705301.595</v>
      </c>
      <c r="M56" s="73">
        <f>IF($H56="-","-",(($K56/(-0.8+1)*((1/(1-$H56))^(-0.8+1)-1))))</f>
        <v>44400020.73018345</v>
      </c>
      <c r="N56" s="73">
        <f>IF($H56="-","-",(($K56/(-1.2+1)*((1/(1-$H56))^(-1.2+1)-1))))</f>
        <v>35991237.69375126</v>
      </c>
      <c r="O56" s="57"/>
    </row>
    <row r="57" spans="1:15" ht="16.5">
      <c r="A57" s="119" t="s">
        <v>195</v>
      </c>
      <c r="B57" s="119" t="s">
        <v>196</v>
      </c>
      <c r="C57" s="120" t="s">
        <v>197</v>
      </c>
      <c r="D57" s="121" t="s">
        <v>36</v>
      </c>
      <c r="E57" s="194" t="s">
        <v>68</v>
      </c>
      <c r="F57" s="123">
        <v>0</v>
      </c>
      <c r="G57" s="123">
        <v>0</v>
      </c>
      <c r="H57" s="123">
        <v>0</v>
      </c>
      <c r="I57" s="124">
        <v>276.1</v>
      </c>
      <c r="J57" s="125">
        <v>362831</v>
      </c>
      <c r="K57" s="126">
        <f>IF(J57="-",0,I57*J57)</f>
        <v>100177639.10000001</v>
      </c>
      <c r="L57" s="127">
        <f>IF(H57="-","-",K57*H57)</f>
        <v>0</v>
      </c>
      <c r="M57" s="128">
        <f>IF($H57="-","-",(($K57/(-0.8+1)*((1/(1-$H57))^(-0.8+1)-1))))</f>
        <v>0</v>
      </c>
      <c r="N57" s="128">
        <f>IF($H57="-","-",(($K57/(-1.2+1)*((1/(1-$H57))^(-1.2+1)-1))))</f>
        <v>0</v>
      </c>
      <c r="O57" s="57"/>
    </row>
    <row r="58" spans="1:15" ht="16.5">
      <c r="A58" s="119" t="s">
        <v>198</v>
      </c>
      <c r="B58" s="119" t="s">
        <v>199</v>
      </c>
      <c r="C58" s="120" t="s">
        <v>200</v>
      </c>
      <c r="D58" s="121" t="s">
        <v>36</v>
      </c>
      <c r="E58" s="122" t="s">
        <v>68</v>
      </c>
      <c r="F58" s="123">
        <f>IF(E58="No aumenta",0,IF(E58="Pequeña",0,IF(E58="Moderada",0.1,IF(E58="Grande",0.4,IF(E58="Esencial",0.9,"-")))))</f>
        <v>0</v>
      </c>
      <c r="G58" s="123">
        <f>IF(E58="No aumenta",0,IF(E58="Pequeña",0.1,IF(E58="Moderada",0.4,IF(E58="Grande",0.9,IF(E58="Esencial",1,"-")))))</f>
        <v>0</v>
      </c>
      <c r="H58" s="123">
        <f>IF(F58="-","-",AVERAGE(F58:G58))</f>
        <v>0</v>
      </c>
      <c r="I58" s="124">
        <v>183.6</v>
      </c>
      <c r="J58" s="125">
        <v>2419</v>
      </c>
      <c r="K58" s="126">
        <f>IF(J58="-",0,I58*J58)</f>
        <v>444128.39999999997</v>
      </c>
      <c r="L58" s="127">
        <f>IF(H58="-","-",K58*H58)</f>
        <v>0</v>
      </c>
      <c r="M58" s="128">
        <f>IF($H58="-","-",(($K58/(-0.8+1)*((1/(1-$H58))^(-0.8+1)-1))))</f>
        <v>0</v>
      </c>
      <c r="N58" s="128">
        <f>IF($H58="-","-",(($K58/(-1.2+1)*((1/(1-$H58))^(-1.2+1)-1))))</f>
        <v>0</v>
      </c>
      <c r="O58" s="57"/>
    </row>
    <row r="59" spans="1:15" ht="16.5">
      <c r="A59" s="174" t="s">
        <v>201</v>
      </c>
      <c r="B59" s="174" t="s">
        <v>202</v>
      </c>
      <c r="C59" s="195" t="s">
        <v>203</v>
      </c>
      <c r="D59" s="196" t="s">
        <v>44</v>
      </c>
      <c r="E59" s="177" t="s">
        <v>72</v>
      </c>
      <c r="F59" s="177">
        <v>0</v>
      </c>
      <c r="G59" s="177">
        <v>0.1</v>
      </c>
      <c r="H59" s="177">
        <v>0.05</v>
      </c>
      <c r="I59" s="178">
        <v>311.7</v>
      </c>
      <c r="J59" s="179">
        <v>1985</v>
      </c>
      <c r="K59" s="180">
        <f>IF(J59="-",0,I59*J59)</f>
        <v>618724.5</v>
      </c>
      <c r="L59" s="181">
        <f>IF(H59="-","-",K59*H59)</f>
        <v>30936.225000000002</v>
      </c>
      <c r="M59" s="182">
        <f>IF($H59="-","-",(($K59/(-0.8+1)*((1/(1-$H59))^(-0.8+1)-1))))</f>
        <v>31899.762553801746</v>
      </c>
      <c r="N59" s="182">
        <f>IF($H59="-","-",(($K59/(-1.2+1)*((1/(1-$H59))^(-1.2+1)-1))))</f>
        <v>31574.186613044407</v>
      </c>
      <c r="O59" s="57"/>
    </row>
    <row r="60" spans="1:15" ht="29.25">
      <c r="A60" s="174" t="s">
        <v>204</v>
      </c>
      <c r="B60" s="174" t="s">
        <v>205</v>
      </c>
      <c r="C60" s="175" t="s">
        <v>206</v>
      </c>
      <c r="D60" s="79" t="s">
        <v>44</v>
      </c>
      <c r="E60" s="176" t="s">
        <v>79</v>
      </c>
      <c r="F60" s="177">
        <v>0.1</v>
      </c>
      <c r="G60" s="177">
        <v>0.4</v>
      </c>
      <c r="H60" s="177">
        <v>0.25</v>
      </c>
      <c r="I60" s="178">
        <v>541.8</v>
      </c>
      <c r="J60" s="179">
        <v>182463</v>
      </c>
      <c r="K60" s="180">
        <f>IF(J60="-",0,I60*J60)</f>
        <v>98858453.39999999</v>
      </c>
      <c r="L60" s="181">
        <f>IF(H60="-","-",K60*H60)</f>
        <v>24714613.349999998</v>
      </c>
      <c r="M60" s="182">
        <f>IF($H60="-","-",(($K60/(-0.8+1)*((1/(1-$H60))^(-0.8+1)-1))))</f>
        <v>29273886.65246503</v>
      </c>
      <c r="N60" s="182">
        <f>IF($H60="-","-",(($K60/(-1.2+1)*((1/(1-$H60))^(-1.2+1)-1))))</f>
        <v>27637110.795654796</v>
      </c>
      <c r="O60" s="57"/>
    </row>
    <row r="61" spans="1:15" ht="16.5">
      <c r="A61" s="119" t="s">
        <v>207</v>
      </c>
      <c r="B61" s="119" t="s">
        <v>208</v>
      </c>
      <c r="C61" s="120" t="s">
        <v>209</v>
      </c>
      <c r="D61" s="121" t="s">
        <v>36</v>
      </c>
      <c r="E61" s="122" t="s">
        <v>68</v>
      </c>
      <c r="F61" s="123">
        <v>0</v>
      </c>
      <c r="G61" s="123">
        <v>0</v>
      </c>
      <c r="H61" s="123">
        <v>0</v>
      </c>
      <c r="I61" s="124">
        <v>200</v>
      </c>
      <c r="J61" s="125">
        <v>10051</v>
      </c>
      <c r="K61" s="126">
        <f>IF(J61="-",0,I61*J61)</f>
        <v>2010200</v>
      </c>
      <c r="L61" s="127">
        <f>IF(H61="-","-",K61*H61)</f>
        <v>0</v>
      </c>
      <c r="M61" s="128">
        <f>IF($H61="-","-",(($K61/(-0.8+1)*((1/(1-$H61))^(-0.8+1)-1))))</f>
        <v>0</v>
      </c>
      <c r="N61" s="128">
        <f>IF($H61="-","-",(($K61/(-1.2+1)*((1/(1-$H61))^(-1.2+1)-1))))</f>
        <v>0</v>
      </c>
      <c r="O61" s="57"/>
    </row>
    <row r="62" spans="1:15" ht="16.5">
      <c r="A62" s="174" t="s">
        <v>210</v>
      </c>
      <c r="B62" s="174" t="s">
        <v>211</v>
      </c>
      <c r="C62" s="175" t="s">
        <v>212</v>
      </c>
      <c r="D62" s="79" t="s">
        <v>44</v>
      </c>
      <c r="E62" s="176" t="s">
        <v>79</v>
      </c>
      <c r="F62" s="177">
        <v>0.1</v>
      </c>
      <c r="G62" s="177">
        <v>0.4</v>
      </c>
      <c r="H62" s="177">
        <v>0.25</v>
      </c>
      <c r="I62" s="178">
        <v>336.1</v>
      </c>
      <c r="J62" s="179">
        <v>103</v>
      </c>
      <c r="K62" s="180">
        <f>IF(J62="-",0,I62*J62)</f>
        <v>34618.3</v>
      </c>
      <c r="L62" s="181">
        <f>IF(H62="-","-",K62*H62)</f>
        <v>8654.575</v>
      </c>
      <c r="M62" s="182">
        <f>IF($H62="-","-",(($K62/(-0.8+1)*((1/(1-$H62))^(-0.8+1)-1))))</f>
        <v>10251.143482900476</v>
      </c>
      <c r="N62" s="182">
        <f>IF($H62="-","-",(($K62/(-1.2+1)*((1/(1-$H62))^(-1.2+1)-1))))</f>
        <v>9677.976538698476</v>
      </c>
      <c r="O62" s="57"/>
    </row>
    <row r="63" spans="1:15" ht="16.5">
      <c r="A63" s="85" t="s">
        <v>213</v>
      </c>
      <c r="B63" s="85" t="s">
        <v>214</v>
      </c>
      <c r="C63" s="86" t="s">
        <v>215</v>
      </c>
      <c r="D63" s="87" t="s">
        <v>48</v>
      </c>
      <c r="E63" s="88" t="s">
        <v>68</v>
      </c>
      <c r="F63" s="89">
        <v>0</v>
      </c>
      <c r="G63" s="89">
        <v>0</v>
      </c>
      <c r="H63" s="89">
        <v>0</v>
      </c>
      <c r="I63" s="90">
        <v>508.7</v>
      </c>
      <c r="J63" s="91">
        <v>8846</v>
      </c>
      <c r="K63" s="92">
        <f>IF(J63="-",0,I63*J63)</f>
        <v>4499960.2</v>
      </c>
      <c r="L63" s="93">
        <f>IF(H63="-","-",K63*H63)</f>
        <v>0</v>
      </c>
      <c r="M63" s="94">
        <f>IF($H63="-","-",(($K63/(-0.8+1)*((1/(1-$H63))^(-0.8+1)-1))))</f>
        <v>0</v>
      </c>
      <c r="N63" s="94">
        <f>IF($H63="-","-",(($K63/(-1.2+1)*((1/(1-$H63))^(-1.2+1)-1))))</f>
        <v>0</v>
      </c>
      <c r="O63" s="57"/>
    </row>
    <row r="64" spans="1:15" ht="16.5">
      <c r="A64" s="64" t="s">
        <v>216</v>
      </c>
      <c r="B64" s="64" t="s">
        <v>217</v>
      </c>
      <c r="C64" s="65" t="s">
        <v>218</v>
      </c>
      <c r="D64" s="66" t="s">
        <v>40</v>
      </c>
      <c r="E64" s="67" t="s">
        <v>79</v>
      </c>
      <c r="F64" s="68">
        <f>IF(E64="No aumenta",0,IF(E64="Pequeña",0,IF(E64="Moderada",0.1,IF(E64="Grande",0.4,IF(E64="Esencial",0.9,"-")))))</f>
        <v>0.1</v>
      </c>
      <c r="G64" s="68">
        <f>IF(E64="No aumenta",0,IF(E64="Pequeña",0.1,IF(E64="Moderada",0.4,IF(E64="Grande",0.9,IF(E64="Esencial",1,"-")))))</f>
        <v>0.4</v>
      </c>
      <c r="H64" s="68">
        <f>IF(F64="-","-",AVERAGE(F64:G64))</f>
        <v>0.25</v>
      </c>
      <c r="I64" s="69">
        <v>1310.8</v>
      </c>
      <c r="J64" s="70">
        <v>253914</v>
      </c>
      <c r="K64" s="71">
        <f>IF(J64="-",0,I64*J64)</f>
        <v>332830471.2</v>
      </c>
      <c r="L64" s="72">
        <f>IF(H64="-","-",K64*H64)</f>
        <v>83207617.8</v>
      </c>
      <c r="M64" s="73">
        <f>IF($H64="-","-",(($K64/(-0.8+1)*((1/(1-$H64))^(-0.8+1)-1))))</f>
        <v>98557494.6127503</v>
      </c>
      <c r="N64" s="73">
        <f>IF($H64="-","-",(($K64/(-1.2+1)*((1/(1-$H64))^(-1.2+1)-1))))</f>
        <v>93046899.80841227</v>
      </c>
      <c r="O64" s="57"/>
    </row>
    <row r="65" spans="1:13" s="1" customFormat="1" ht="29.25">
      <c r="A65" s="197" t="s">
        <v>219</v>
      </c>
      <c r="B65" s="197" t="s">
        <v>220</v>
      </c>
      <c r="C65" s="198" t="s">
        <v>221</v>
      </c>
      <c r="D65" s="113" t="s">
        <v>64</v>
      </c>
      <c r="E65" s="199" t="s">
        <v>68</v>
      </c>
      <c r="F65" s="200">
        <f>IF(E65="No aumenta",0,IF(E65="Pequeña",0,IF(E65="Moderada",0.1,IF(E65="Grande",0.4,IF(E65="Esencial",0.9,"-")))))</f>
        <v>0</v>
      </c>
      <c r="G65" s="200">
        <f>IF(E65="No aumenta",0,IF(E65="Pequeña",0.1,IF(E65="Moderada",0.4,IF(E65="Grande",0.9,IF(E65="Esencial",1,"-")))))</f>
        <v>0</v>
      </c>
      <c r="H65" s="200">
        <f>IF(F65="-","-",AVERAGE(F65:G65))</f>
        <v>0</v>
      </c>
      <c r="I65" s="201">
        <v>31.2</v>
      </c>
      <c r="J65" s="202">
        <v>604298</v>
      </c>
      <c r="K65" s="203">
        <f>IF(J65="-",0,I65*J65)</f>
        <v>18854097.599999998</v>
      </c>
      <c r="L65" s="204">
        <f>IF($H65="-","-",(($K65/(-0.8+1)*((1/(1-$H65))^(-0.8+1)-1))))</f>
        <v>0</v>
      </c>
      <c r="M65" s="57"/>
    </row>
    <row r="66" spans="1:15" ht="29.25">
      <c r="A66" s="174" t="s">
        <v>222</v>
      </c>
      <c r="B66" s="174" t="s">
        <v>223</v>
      </c>
      <c r="C66" s="175" t="s">
        <v>224</v>
      </c>
      <c r="D66" s="79" t="s">
        <v>44</v>
      </c>
      <c r="E66" s="176" t="s">
        <v>79</v>
      </c>
      <c r="F66" s="177">
        <v>0.1</v>
      </c>
      <c r="G66" s="177">
        <v>0.4</v>
      </c>
      <c r="H66" s="177">
        <v>0.25</v>
      </c>
      <c r="I66" s="178">
        <v>380.1</v>
      </c>
      <c r="J66" s="179">
        <v>506281</v>
      </c>
      <c r="K66" s="180">
        <f>IF(J66="-",0,I66*J66)</f>
        <v>192437408.10000002</v>
      </c>
      <c r="L66" s="181">
        <f>IF(H66="-","-",K66*H66)</f>
        <v>48109352.025000006</v>
      </c>
      <c r="M66" s="182">
        <f>IF($H66="-","-",(($K66/(-0.8+1)*((1/(1-$H66))^(-0.8+1)-1))))</f>
        <v>56984412.34579902</v>
      </c>
      <c r="N66" s="182">
        <f>IF($H66="-","-",(($K66/(-1.2+1)*((1/(1-$H66))^(-1.2+1)-1))))</f>
        <v>53798272.034147955</v>
      </c>
      <c r="O66" s="57"/>
    </row>
    <row r="67" spans="1:15" ht="42.75">
      <c r="A67" s="183" t="s">
        <v>225</v>
      </c>
      <c r="B67" s="183" t="s">
        <v>226</v>
      </c>
      <c r="C67" s="184" t="s">
        <v>227</v>
      </c>
      <c r="D67" s="101" t="s">
        <v>54</v>
      </c>
      <c r="E67" s="185" t="s">
        <v>62</v>
      </c>
      <c r="F67" s="186" t="s">
        <v>63</v>
      </c>
      <c r="G67" s="186" t="s">
        <v>63</v>
      </c>
      <c r="H67" s="186" t="s">
        <v>63</v>
      </c>
      <c r="I67" s="187">
        <v>491.4</v>
      </c>
      <c r="J67" s="188">
        <f>5000+6344</f>
        <v>11344</v>
      </c>
      <c r="K67" s="189">
        <f>IF(J67="-",0,I67*J67)</f>
        <v>5574441.6</v>
      </c>
      <c r="L67" s="190" t="str">
        <f>IF(H67="-","-",K67*H67)</f>
        <v>-</v>
      </c>
      <c r="M67" s="191" t="str">
        <f>IF($H67="-","-",(($K67/(-0.8+1)*((1/(1-$H67))^(-0.8+1)-1))))</f>
        <v>-</v>
      </c>
      <c r="N67" s="191" t="str">
        <f>IF($H67="-","-",(($K67/(-1.2+1)*((1/(1-$H67))^(-1.2+1)-1))))</f>
        <v>-</v>
      </c>
      <c r="O67" s="57"/>
    </row>
    <row r="68" spans="1:15" ht="96">
      <c r="A68" s="64" t="s">
        <v>228</v>
      </c>
      <c r="B68" s="64" t="s">
        <v>229</v>
      </c>
      <c r="C68" s="65" t="s">
        <v>230</v>
      </c>
      <c r="D68" s="66" t="s">
        <v>40</v>
      </c>
      <c r="E68" s="67" t="s">
        <v>72</v>
      </c>
      <c r="F68" s="68">
        <v>0</v>
      </c>
      <c r="G68" s="68">
        <v>0.1</v>
      </c>
      <c r="H68" s="68">
        <v>0.05</v>
      </c>
      <c r="I68" s="69">
        <v>240.6</v>
      </c>
      <c r="J68" s="70">
        <f>9679+187242+126661</f>
        <v>323582</v>
      </c>
      <c r="K68" s="71">
        <f>IF(J68="-",0,I68*J68)</f>
        <v>77853829.2</v>
      </c>
      <c r="L68" s="72">
        <f>IF(H68="-","-",K68*H68)</f>
        <v>3892691.4600000004</v>
      </c>
      <c r="M68" s="73">
        <f>IF($H68="-","-",(($K68/(-0.8+1)*((1/(1-$H68))^(-0.8+1)-1))))</f>
        <v>4013932.962706725</v>
      </c>
      <c r="N68" s="73">
        <f>IF($H68="-","-",(($K68/(-1.2+1)*((1/(1-$H68))^(-1.2+1)-1))))</f>
        <v>3972965.8865955463</v>
      </c>
      <c r="O68" s="57"/>
    </row>
    <row r="69" spans="1:15" ht="16.5">
      <c r="A69" s="85" t="s">
        <v>231</v>
      </c>
      <c r="B69" s="85" t="s">
        <v>232</v>
      </c>
      <c r="C69" s="86" t="s">
        <v>233</v>
      </c>
      <c r="D69" s="87" t="s">
        <v>48</v>
      </c>
      <c r="E69" s="88" t="s">
        <v>72</v>
      </c>
      <c r="F69" s="89">
        <v>0</v>
      </c>
      <c r="G69" s="89">
        <v>0.1</v>
      </c>
      <c r="H69" s="89">
        <v>0.05</v>
      </c>
      <c r="I69" s="90">
        <v>440.6</v>
      </c>
      <c r="J69" s="91">
        <v>1553966</v>
      </c>
      <c r="K69" s="92">
        <f>IF(J69="-",0,I69*J69)</f>
        <v>684677419.6</v>
      </c>
      <c r="L69" s="93">
        <f>IF(H69="-","-",K69*H69)</f>
        <v>34233870.980000004</v>
      </c>
      <c r="M69" s="94">
        <f>IF($H69="-","-",(($K69/(-0.8+1)*((1/(1-$H69))^(-0.8+1)-1))))</f>
        <v>35300116.7905743</v>
      </c>
      <c r="N69" s="94">
        <f>IF($H69="-","-",(($K69/(-1.2+1)*((1/(1-$H69))^(-1.2+1)-1))))</f>
        <v>34939836.092134885</v>
      </c>
      <c r="O69" s="57"/>
    </row>
    <row r="70" spans="1:15" ht="29.25">
      <c r="A70" s="47" t="s">
        <v>234</v>
      </c>
      <c r="B70" s="47" t="s">
        <v>235</v>
      </c>
      <c r="C70" s="48" t="s">
        <v>236</v>
      </c>
      <c r="D70" s="49" t="s">
        <v>34</v>
      </c>
      <c r="E70" s="50" t="s">
        <v>68</v>
      </c>
      <c r="F70" s="51" t="s">
        <v>63</v>
      </c>
      <c r="G70" s="51" t="s">
        <v>63</v>
      </c>
      <c r="H70" s="51" t="s">
        <v>63</v>
      </c>
      <c r="I70" s="157">
        <v>2087.7</v>
      </c>
      <c r="J70" s="158">
        <v>1984</v>
      </c>
      <c r="K70" s="54">
        <f>IF(J70="-",0,I70*J70)</f>
        <v>4141996.8</v>
      </c>
      <c r="L70" s="55" t="str">
        <f>IF(H70="-","-",K70*H70)</f>
        <v>-</v>
      </c>
      <c r="M70" s="56" t="str">
        <f>IF($H70="-","-",(($K70/(-0.8+1)*((1/(1-$H70))^(-0.8+1)-1))))</f>
        <v>-</v>
      </c>
      <c r="N70" s="56" t="str">
        <f>IF($H70="-","-",(($K70/(-1.2+1)*((1/(1-$H70))^(-1.2+1)-1))))</f>
        <v>-</v>
      </c>
      <c r="O70" s="57"/>
    </row>
    <row r="71" spans="1:15" ht="16.5">
      <c r="A71" s="85" t="s">
        <v>237</v>
      </c>
      <c r="B71" s="85" t="s">
        <v>238</v>
      </c>
      <c r="C71" s="86" t="s">
        <v>239</v>
      </c>
      <c r="D71" s="87" t="s">
        <v>48</v>
      </c>
      <c r="E71" s="88" t="s">
        <v>130</v>
      </c>
      <c r="F71" s="89">
        <v>0.9</v>
      </c>
      <c r="G71" s="89">
        <v>1</v>
      </c>
      <c r="H71" s="89">
        <v>0.95</v>
      </c>
      <c r="I71" s="90">
        <v>243.3</v>
      </c>
      <c r="J71" s="91">
        <v>439151</v>
      </c>
      <c r="K71" s="92">
        <f>IF(J71="-",0,I71*J71)</f>
        <v>106845438.30000001</v>
      </c>
      <c r="L71" s="93">
        <f>IF(H71="-","-",K71*H71)</f>
        <v>101503166.385</v>
      </c>
      <c r="M71" s="94">
        <f>IF($H71="-","-",(($K71/(-0.8+1)*((1/(1-$H71))^(-0.8+1)-1))))</f>
        <v>438367709.62805855</v>
      </c>
      <c r="N71" s="94">
        <f>IF($H71="-","-",(($K71/(-1.2+1)*((1/(1-$H71))^(-1.2+1)-1))))</f>
        <v>240786734.6284293</v>
      </c>
      <c r="O71" s="57"/>
    </row>
    <row r="72" spans="1:15" ht="29.25">
      <c r="A72" s="119" t="s">
        <v>240</v>
      </c>
      <c r="B72" s="119" t="s">
        <v>241</v>
      </c>
      <c r="C72" s="120" t="s">
        <v>242</v>
      </c>
      <c r="D72" s="121" t="s">
        <v>36</v>
      </c>
      <c r="E72" s="122" t="s">
        <v>68</v>
      </c>
      <c r="F72" s="123">
        <v>0</v>
      </c>
      <c r="G72" s="123">
        <v>0</v>
      </c>
      <c r="H72" s="123">
        <v>0</v>
      </c>
      <c r="I72" s="124">
        <v>230.1</v>
      </c>
      <c r="J72" s="125">
        <v>967454</v>
      </c>
      <c r="K72" s="126">
        <f>IF(J72="-",0,I72*J72)</f>
        <v>222611165.4</v>
      </c>
      <c r="L72" s="127">
        <f>IF(H72="-","-",K72*H72)</f>
        <v>0</v>
      </c>
      <c r="M72" s="128">
        <f>IF($H72="-","-",(($K72/(-0.8+1)*((1/(1-$H72))^(-0.8+1)-1))))</f>
        <v>0</v>
      </c>
      <c r="N72" s="128">
        <f>IF($H72="-","-",(($K72/(-1.2+1)*((1/(1-$H72))^(-1.2+1)-1))))</f>
        <v>0</v>
      </c>
      <c r="O72" s="57"/>
    </row>
    <row r="73" spans="1:14" ht="16.5">
      <c r="A73" s="2"/>
      <c r="I73" s="205"/>
      <c r="J73" s="206"/>
      <c r="K73" s="207"/>
      <c r="L73" s="208"/>
      <c r="M73" s="209"/>
      <c r="N73" s="209"/>
    </row>
    <row r="74" spans="1:14" ht="30" customHeight="1">
      <c r="A74" s="210" t="s">
        <v>243</v>
      </c>
      <c r="B74" s="210" t="s">
        <v>248</v>
      </c>
      <c r="C74" s="210"/>
      <c r="D74" s="210"/>
      <c r="E74" s="210"/>
      <c r="F74" s="211">
        <f>AVERAGE(F9:F72)</f>
        <v>0.16470588235294117</v>
      </c>
      <c r="G74" s="211">
        <f>AVERAGE(G9:G72)</f>
        <v>0.36078431372549025</v>
      </c>
      <c r="H74" s="211">
        <f>AVERAGE(H9:H72)</f>
        <v>0.2627450980392157</v>
      </c>
      <c r="I74" s="212">
        <f>AVERAGE(I9:I72)</f>
        <v>690.1046874999998</v>
      </c>
      <c r="J74" s="213">
        <f>AVERAGE(J9:J72)</f>
        <v>284026.5714285714</v>
      </c>
      <c r="K74" s="214">
        <f>SUM(K9:K72)</f>
        <v>6822243498.3</v>
      </c>
      <c r="L74" s="215">
        <f>SUM(L9:L72)</f>
        <v>877708846.945</v>
      </c>
      <c r="M74" s="216">
        <f>SUM(M9:M72)</f>
        <v>2067787879.9921653</v>
      </c>
      <c r="N74" s="216">
        <f>SUM(N9:N72)</f>
        <v>1423250619.5637467</v>
      </c>
    </row>
  </sheetData>
  <sheetProtection selectLockedCells="1" selectUnlockedCells="1"/>
  <mergeCells count="10">
    <mergeCell ref="A2:N2"/>
    <mergeCell ref="A3:N3"/>
    <mergeCell ref="P3:V3"/>
    <mergeCell ref="F4:H4"/>
    <mergeCell ref="I4:N4"/>
    <mergeCell ref="M5:N5"/>
    <mergeCell ref="U5:V5"/>
    <mergeCell ref="B6:D6"/>
    <mergeCell ref="E6:H6"/>
    <mergeCell ref="A74:E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L64"/>
  <sheetViews>
    <sheetView tabSelected="1" zoomScale="90" zoomScaleNormal="90" workbookViewId="0" topLeftCell="A10">
      <selection activeCell="A9" sqref="A9:A63"/>
    </sheetView>
  </sheetViews>
  <sheetFormatPr defaultColWidth="11.00390625" defaultRowHeight="12.75"/>
  <cols>
    <col min="1" max="1" width="10.75390625" style="1" customWidth="1"/>
    <col min="2" max="2" width="14.00390625" style="2" customWidth="1"/>
    <col min="3" max="3" width="40.75390625" style="3" customWidth="1"/>
    <col min="4" max="4" width="12.75390625" style="1" customWidth="1"/>
    <col min="5" max="5" width="11.75390625" style="4" customWidth="1"/>
    <col min="6" max="8" width="10.75390625" style="4" customWidth="1"/>
    <col min="9" max="9" width="14.625" style="1" customWidth="1"/>
    <col min="10" max="10" width="14.00390625" style="1" customWidth="1"/>
    <col min="11" max="11" width="16.875" style="5" customWidth="1"/>
    <col min="12" max="12" width="15.75390625" style="6" customWidth="1"/>
    <col min="13" max="14" width="15.75390625" style="7" customWidth="1"/>
    <col min="15" max="15" width="10.75390625" style="1" customWidth="1"/>
    <col min="16" max="16" width="12.375" style="1" customWidth="1"/>
    <col min="17" max="17" width="14.125" style="1" customWidth="1"/>
    <col min="18" max="18" width="24.75390625" style="1" customWidth="1"/>
    <col min="19" max="19" width="21.25390625" style="1" customWidth="1"/>
    <col min="20" max="20" width="14.125" style="1" customWidth="1"/>
    <col min="21" max="22" width="18.75390625" style="1" customWidth="1"/>
    <col min="23" max="245" width="10.75390625" style="1" customWidth="1"/>
    <col min="246" max="16384" width="10.75390625" style="0" customWidth="1"/>
  </cols>
  <sheetData>
    <row r="1" spans="2:14" s="8" customFormat="1" ht="12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36.75" customHeight="1">
      <c r="A2" s="248" t="s">
        <v>287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22" s="11" customFormat="1" ht="60.75" customHeight="1">
      <c r="A3" s="248" t="s">
        <v>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P3" s="12" t="s">
        <v>2</v>
      </c>
      <c r="Q3" s="12"/>
      <c r="R3" s="12"/>
      <c r="S3" s="12"/>
      <c r="T3" s="12"/>
      <c r="U3" s="12"/>
      <c r="V3" s="12"/>
    </row>
    <row r="4" spans="6:246" ht="61.5" customHeight="1">
      <c r="F4" s="13" t="s">
        <v>3</v>
      </c>
      <c r="G4" s="13"/>
      <c r="H4" s="13"/>
      <c r="I4" s="14" t="s">
        <v>4</v>
      </c>
      <c r="J4" s="14"/>
      <c r="K4" s="14"/>
      <c r="L4" s="14"/>
      <c r="M4" s="14"/>
      <c r="N4" s="14"/>
      <c r="IL4" s="1"/>
    </row>
    <row r="5" spans="1:246" ht="78.75" customHeight="1">
      <c r="A5" s="15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8" t="s">
        <v>11</v>
      </c>
      <c r="H5" s="17" t="s">
        <v>12</v>
      </c>
      <c r="I5" s="19" t="s">
        <v>13</v>
      </c>
      <c r="J5" s="19" t="s">
        <v>14</v>
      </c>
      <c r="K5" s="20" t="s">
        <v>15</v>
      </c>
      <c r="L5" s="21" t="s">
        <v>16</v>
      </c>
      <c r="M5" s="22" t="s">
        <v>17</v>
      </c>
      <c r="N5" s="22"/>
      <c r="P5" s="16" t="s">
        <v>8</v>
      </c>
      <c r="Q5" s="23" t="s">
        <v>18</v>
      </c>
      <c r="R5" s="20" t="s">
        <v>15</v>
      </c>
      <c r="S5" s="21" t="s">
        <v>16</v>
      </c>
      <c r="T5" s="24" t="s">
        <v>19</v>
      </c>
      <c r="U5" s="22" t="s">
        <v>17</v>
      </c>
      <c r="V5" s="22"/>
      <c r="IL5" s="1"/>
    </row>
    <row r="6" spans="1:246" ht="47.25" customHeight="1">
      <c r="A6" s="25"/>
      <c r="B6" s="26" t="s">
        <v>20</v>
      </c>
      <c r="C6" s="26"/>
      <c r="D6" s="26"/>
      <c r="E6" s="27" t="s">
        <v>21</v>
      </c>
      <c r="F6" s="27"/>
      <c r="G6" s="27"/>
      <c r="H6" s="27"/>
      <c r="I6" s="28" t="s">
        <v>20</v>
      </c>
      <c r="J6" s="28" t="s">
        <v>22</v>
      </c>
      <c r="K6" s="29" t="s">
        <v>23</v>
      </c>
      <c r="L6" s="30" t="s">
        <v>24</v>
      </c>
      <c r="M6" s="31">
        <v>-0.8</v>
      </c>
      <c r="N6" s="31">
        <v>-1.2</v>
      </c>
      <c r="P6" s="32"/>
      <c r="Q6" s="33" t="s">
        <v>25</v>
      </c>
      <c r="R6" s="29" t="s">
        <v>23</v>
      </c>
      <c r="S6" s="30" t="s">
        <v>26</v>
      </c>
      <c r="T6" s="34" t="s">
        <v>27</v>
      </c>
      <c r="U6" s="31">
        <v>-0.8</v>
      </c>
      <c r="V6" s="31">
        <v>-1.2</v>
      </c>
      <c r="IL6" s="1"/>
    </row>
    <row r="7" spans="2:246" ht="27.75" customHeight="1">
      <c r="B7" s="35"/>
      <c r="C7" s="36"/>
      <c r="D7" s="37"/>
      <c r="E7" s="38"/>
      <c r="F7" s="39"/>
      <c r="G7" s="39"/>
      <c r="H7" s="39"/>
      <c r="I7" s="19" t="s">
        <v>28</v>
      </c>
      <c r="J7" s="19" t="s">
        <v>29</v>
      </c>
      <c r="K7" s="40" t="s">
        <v>30</v>
      </c>
      <c r="L7" s="41" t="s">
        <v>30</v>
      </c>
      <c r="M7" s="42" t="s">
        <v>30</v>
      </c>
      <c r="N7" s="42" t="s">
        <v>30</v>
      </c>
      <c r="P7" s="43"/>
      <c r="Q7" s="19"/>
      <c r="R7" s="40"/>
      <c r="S7" s="41"/>
      <c r="T7" s="44"/>
      <c r="U7" s="42"/>
      <c r="V7" s="42"/>
      <c r="IL7" s="1"/>
    </row>
    <row r="8" spans="2:246" ht="16.5">
      <c r="B8" s="35"/>
      <c r="C8" s="36"/>
      <c r="D8" s="37"/>
      <c r="E8" s="38"/>
      <c r="F8" s="39"/>
      <c r="G8" s="39"/>
      <c r="H8" s="39"/>
      <c r="I8" s="19"/>
      <c r="J8" s="19"/>
      <c r="K8" s="40"/>
      <c r="L8" s="41"/>
      <c r="M8" s="42"/>
      <c r="N8" s="42"/>
      <c r="P8" s="43"/>
      <c r="Q8" s="43"/>
      <c r="R8" s="40"/>
      <c r="S8" s="45"/>
      <c r="T8" s="44"/>
      <c r="U8" s="46"/>
      <c r="V8" s="46"/>
      <c r="IL8" s="1"/>
    </row>
    <row r="9" spans="1:22" ht="29.25">
      <c r="A9" s="47" t="s">
        <v>31</v>
      </c>
      <c r="B9" s="47" t="s">
        <v>32</v>
      </c>
      <c r="C9" s="48" t="s">
        <v>33</v>
      </c>
      <c r="D9" s="49" t="s">
        <v>34</v>
      </c>
      <c r="E9" s="50" t="s">
        <v>35</v>
      </c>
      <c r="F9" s="51">
        <v>0.4</v>
      </c>
      <c r="G9" s="51">
        <v>0.9</v>
      </c>
      <c r="H9" s="51">
        <v>0.65</v>
      </c>
      <c r="I9" s="52">
        <v>687.9</v>
      </c>
      <c r="J9" s="53">
        <v>256</v>
      </c>
      <c r="K9" s="54">
        <f>IF(J9="-",0,I9*J9)</f>
        <v>176102.4</v>
      </c>
      <c r="L9" s="55">
        <f>IF(H9="-","-",$K9*H9)</f>
        <v>114466.56</v>
      </c>
      <c r="M9" s="56">
        <f>IF($H9="-","-",(($K9/(-0.8+1)*((1/(1-$H9))^(-0.8+1)-1))))</f>
        <v>205717.6925110429</v>
      </c>
      <c r="N9" s="56">
        <f>IF($H9="-","-",(($K9/(-1.2+1)*((1/(1-$H9))^(-1.2+1)-1))))</f>
        <v>166757.45297437807</v>
      </c>
      <c r="O9" s="57"/>
      <c r="P9" s="58" t="s">
        <v>36</v>
      </c>
      <c r="Q9" s="59">
        <f>SUMIF($D$9:$D$62,$P9,$K$9:$K$62)/SUMIF($D$9:$D$62,$P9,$J$9:$J$62)</f>
        <v>211.72419499105544</v>
      </c>
      <c r="R9" s="217">
        <f>SUMIF($D$9:$D$62,$P9,$K$9:$K$62)</f>
        <v>473415.3</v>
      </c>
      <c r="S9" s="218">
        <f>SUMIF($D$9:$D$62,$P9,$L$9:$L$62)</f>
        <v>0</v>
      </c>
      <c r="T9" s="62">
        <f>IF(R9=0,"-",S9/R9)</f>
        <v>0</v>
      </c>
      <c r="U9" s="219">
        <f>SUMIF($D$9:$D$62,$P9,$M$9:$M$62)</f>
        <v>0</v>
      </c>
      <c r="V9" s="219">
        <f>SUMIF($D$9:$D$62,$P9,$N$9:$N$62)</f>
        <v>0</v>
      </c>
    </row>
    <row r="10" spans="1:22" ht="16.5">
      <c r="A10" s="64" t="s">
        <v>37</v>
      </c>
      <c r="B10" s="64" t="s">
        <v>38</v>
      </c>
      <c r="C10" s="65" t="s">
        <v>39</v>
      </c>
      <c r="D10" s="66" t="s">
        <v>40</v>
      </c>
      <c r="E10" s="67" t="s">
        <v>35</v>
      </c>
      <c r="F10" s="68">
        <v>0.4</v>
      </c>
      <c r="G10" s="68">
        <v>0.9</v>
      </c>
      <c r="H10" s="68">
        <v>0.65</v>
      </c>
      <c r="I10" s="69">
        <v>342.2</v>
      </c>
      <c r="J10" s="70">
        <v>2723</v>
      </c>
      <c r="K10" s="71">
        <f>IF(J10="-",0,I10*J10)</f>
        <v>931810.6</v>
      </c>
      <c r="L10" s="72">
        <f>IF(H10="-","-",K10*H10)</f>
        <v>605676.89</v>
      </c>
      <c r="M10" s="73">
        <f>IF($H10="-","-",(($K10/(-0.8+1)*((1/(1-$H10))^(-0.8+1)-1))))</f>
        <v>1088513.9923665458</v>
      </c>
      <c r="N10" s="73">
        <f>IF($H10="-","-",(($K10/(-1.2+1)*((1/(1-$H10))^(-1.2+1)-1))))</f>
        <v>882363.6833485917</v>
      </c>
      <c r="O10" s="57"/>
      <c r="P10" s="66" t="s">
        <v>40</v>
      </c>
      <c r="Q10" s="74">
        <f>SUMIF($D$9:$D$62,$P10,$K$9:$K$62)/SUMIF($D$9:$D$62,$P10,$J$9:$J$62)</f>
        <v>579.3437360492128</v>
      </c>
      <c r="R10" s="220">
        <f>SUMIF($D$9:$D$62,$P10,$K$9:$K$62)</f>
        <v>229699942.50000003</v>
      </c>
      <c r="S10" s="221">
        <f>SUMIF($D$9:$D$62,$P10,$L$9:$L$62)</f>
        <v>11370995.215</v>
      </c>
      <c r="T10" s="77">
        <f>IF(R10=0,"-",S10/R10)</f>
        <v>0.04950369203945272</v>
      </c>
      <c r="U10" s="222">
        <f>SUMIF($D$9:$D$62,$P10,$M$9:$M$62)</f>
        <v>19983776.226654384</v>
      </c>
      <c r="V10" s="222">
        <f>SUMIF($D$9:$D$62,$P10,$N$9:$N$62)</f>
        <v>16300985.644696144</v>
      </c>
    </row>
    <row r="11" spans="1:22" ht="29.25">
      <c r="A11" s="64" t="s">
        <v>41</v>
      </c>
      <c r="B11" s="64" t="s">
        <v>42</v>
      </c>
      <c r="C11" s="65" t="s">
        <v>43</v>
      </c>
      <c r="D11" s="66" t="s">
        <v>40</v>
      </c>
      <c r="E11" s="67" t="s">
        <v>35</v>
      </c>
      <c r="F11" s="68">
        <v>0.4</v>
      </c>
      <c r="G11" s="68">
        <v>0.9</v>
      </c>
      <c r="H11" s="68">
        <v>0.65</v>
      </c>
      <c r="I11" s="69">
        <v>745.8</v>
      </c>
      <c r="J11" s="70">
        <v>1604</v>
      </c>
      <c r="K11" s="71">
        <f>IF(J11="-",0,I11*J11)</f>
        <v>1196263.2</v>
      </c>
      <c r="L11" s="72">
        <f>IF(H11="-","-",K11*H11)</f>
        <v>777571.08</v>
      </c>
      <c r="M11" s="73">
        <f>IF($H11="-","-",(($K11/(-0.8+1)*((1/(1-$H11))^(-0.8+1)-1))))</f>
        <v>1397439.8142210227</v>
      </c>
      <c r="N11" s="73">
        <f>IF($H11="-","-",(($K11/(-1.2+1)*((1/(1-$H11))^(-1.2+1)-1))))</f>
        <v>1132782.9962509258</v>
      </c>
      <c r="O11" s="57"/>
      <c r="P11" s="79" t="s">
        <v>44</v>
      </c>
      <c r="Q11" s="80">
        <f>SUMIF($D$9:$D$62,$P11,$K$9:$K$62)/SUMIF($D$9:$D$62,$P11,$J$9:$J$62)</f>
        <v>396.6</v>
      </c>
      <c r="R11" s="223">
        <f>SUMIF($D$9:$D$62,$P11,$K$9:$K$62)</f>
        <v>111444.6</v>
      </c>
      <c r="S11" s="224">
        <f>SUMIF($D$9:$D$62,$P11,$L$9:$L$62)</f>
        <v>0</v>
      </c>
      <c r="T11" s="83">
        <f>IF(R11=0,"-",S11/R11)</f>
        <v>0</v>
      </c>
      <c r="U11" s="225">
        <f>SUMIF($D$9:$D$62,$P11,$M$9:$M$62)</f>
        <v>0</v>
      </c>
      <c r="V11" s="225">
        <f>SUMIF($D$9:$D$62,$P11,$N$9:$N$62)</f>
        <v>0</v>
      </c>
    </row>
    <row r="12" spans="1:22" ht="42.75">
      <c r="A12" s="85" t="s">
        <v>45</v>
      </c>
      <c r="B12" s="85" t="s">
        <v>46</v>
      </c>
      <c r="C12" s="86" t="s">
        <v>47</v>
      </c>
      <c r="D12" s="87" t="s">
        <v>48</v>
      </c>
      <c r="E12" s="88" t="s">
        <v>49</v>
      </c>
      <c r="F12" s="89" t="str">
        <f>IF(E12="No aumenta",0,IF(E12="Pequeña",0,IF(E12="Moderada",0.1,IF(E12="Grande",0.4,IF(E12="Esencial",0.9,"-")))))</f>
        <v>-</v>
      </c>
      <c r="G12" s="89" t="str">
        <f>IF(E12="No aumenta",0,IF(E12="Pequeña",0.1,IF(E12="Moderada",0.4,IF(E12="Grande",0.9,IF(E12="Esencial",1,"-")))))</f>
        <v>-</v>
      </c>
      <c r="H12" s="89" t="str">
        <f>IF(F12="-","-",AVERAGE(F12:G12))</f>
        <v>-</v>
      </c>
      <c r="I12" s="90">
        <v>661.2</v>
      </c>
      <c r="J12" s="91">
        <v>49</v>
      </c>
      <c r="K12" s="92">
        <f>IF(J12="-",0,I12*J12)</f>
        <v>32398.800000000003</v>
      </c>
      <c r="L12" s="93" t="str">
        <f>IF(H12="-","-",K12*H12)</f>
        <v>-</v>
      </c>
      <c r="M12" s="94" t="str">
        <f>IF($H12="-","-",(($K12/(-0.8+1)*((1/(1-$H12))^(-0.8+1)-1))))</f>
        <v>-</v>
      </c>
      <c r="N12" s="94" t="str">
        <f>IF($H12="-","-",(($K12/(-1.2+1)*((1/(1-$H12))^(-1.2+1)-1))))</f>
        <v>-</v>
      </c>
      <c r="O12" s="57"/>
      <c r="P12" s="95" t="s">
        <v>50</v>
      </c>
      <c r="Q12" s="96">
        <f>SUMIF($D$9:$D$62,$P12,$K$9:$K$62)/SUMIF($D$9:$D$62,$P12,$J$9:$J$62)</f>
        <v>961.8256317689531</v>
      </c>
      <c r="R12" s="226">
        <f>SUMIF($D$9:$D$62,$P12,$K$9:$K$62)</f>
        <v>266425.7</v>
      </c>
      <c r="S12" s="227">
        <f>SUMIF($D$9:$D$62,$P12,$L$9:$L$62)</f>
        <v>12734.800000000001</v>
      </c>
      <c r="T12" s="99">
        <f>IF(R12=0,"-",S12/R12)</f>
        <v>0.04779869209314267</v>
      </c>
      <c r="U12" s="228">
        <f>SUMIF($D$9:$D$62,$P12,$M$9:$M$62)</f>
        <v>13446.317526230712</v>
      </c>
      <c r="V12" s="228">
        <f>SUMIF($D$9:$D$62,$P12,$N$9:$N$62)</f>
        <v>13197.903640589626</v>
      </c>
    </row>
    <row r="13" spans="1:22" ht="29.25">
      <c r="A13" s="64" t="s">
        <v>55</v>
      </c>
      <c r="B13" s="64" t="s">
        <v>56</v>
      </c>
      <c r="C13" s="65" t="s">
        <v>57</v>
      </c>
      <c r="D13" s="66" t="s">
        <v>40</v>
      </c>
      <c r="E13" s="67" t="s">
        <v>35</v>
      </c>
      <c r="F13" s="68">
        <v>0.4</v>
      </c>
      <c r="G13" s="68">
        <v>0.9</v>
      </c>
      <c r="H13" s="68">
        <v>0.65</v>
      </c>
      <c r="I13" s="69">
        <v>1312.2</v>
      </c>
      <c r="J13" s="70">
        <v>8278</v>
      </c>
      <c r="K13" s="71">
        <f>IF(J13="-",0,I13*J13)</f>
        <v>10862391.6</v>
      </c>
      <c r="L13" s="72">
        <f>IF(H13="-","-",K13*H13)</f>
        <v>7060554.54</v>
      </c>
      <c r="M13" s="73">
        <f>IF($H13="-","-",(($K13/(-0.8+1)*((1/(1-$H13))^(-0.8+1)-1))))</f>
        <v>12689129.365092896</v>
      </c>
      <c r="N13" s="73">
        <f>IF($H13="-","-",(($K13/(-1.2+1)*((1/(1-$H13))^(-1.2+1)-1))))</f>
        <v>10285974.276479363</v>
      </c>
      <c r="O13" s="57"/>
      <c r="P13" s="101" t="s">
        <v>54</v>
      </c>
      <c r="Q13" s="102">
        <f>SUMIF($D$9:$D$62,$P13,$K$9:$K$62)/SUMIF($D$9:$D$62,$P13,$J$9:$J$62)</f>
        <v>227.2229381530641</v>
      </c>
      <c r="R13" s="229">
        <f>SUMIF($D$9:$D$62,$P13,$K$9:$K$62)</f>
        <v>20114910.599999998</v>
      </c>
      <c r="S13" s="230">
        <f>SUMIF($D$9:$D$62,$P13,$L$9:$L$62)</f>
        <v>0</v>
      </c>
      <c r="T13" s="105">
        <f>IF(R13=0,"-",S13/R13)</f>
        <v>0</v>
      </c>
      <c r="U13" s="231">
        <f>SUMIF($D$9:$D$62,$P13,$M$9:$M$62)</f>
        <v>0</v>
      </c>
      <c r="V13" s="231">
        <f>SUMIF($D$9:$D$62,$P13,$N$9:$N$62)</f>
        <v>0</v>
      </c>
    </row>
    <row r="14" spans="1:22" ht="42.75">
      <c r="A14" s="64" t="s">
        <v>59</v>
      </c>
      <c r="B14" s="64" t="s">
        <v>60</v>
      </c>
      <c r="C14" s="65" t="s">
        <v>61</v>
      </c>
      <c r="D14" s="66" t="s">
        <v>40</v>
      </c>
      <c r="E14" s="67" t="s">
        <v>62</v>
      </c>
      <c r="F14" s="68" t="s">
        <v>63</v>
      </c>
      <c r="G14" s="68" t="s">
        <v>63</v>
      </c>
      <c r="H14" s="68" t="s">
        <v>63</v>
      </c>
      <c r="I14" s="69">
        <v>580.2</v>
      </c>
      <c r="J14" s="70">
        <v>346440</v>
      </c>
      <c r="K14" s="71">
        <f>IF(J14="-",0,I14*J14)</f>
        <v>201004488.00000003</v>
      </c>
      <c r="L14" s="72" t="str">
        <f>IF(H14="-","-",K14*H14)</f>
        <v>-</v>
      </c>
      <c r="M14" s="73" t="str">
        <f>IF($H14="-","-",(($K14/(-0.8+1)*((1/(1-$H14))^(-0.8+1)-1))))</f>
        <v>-</v>
      </c>
      <c r="N14" s="73" t="str">
        <f>IF($H14="-","-",(($K14/(-1.2+1)*((1/(1-$H14))^(-1.2+1)-1))))</f>
        <v>-</v>
      </c>
      <c r="O14" s="57"/>
      <c r="P14" s="49" t="s">
        <v>34</v>
      </c>
      <c r="Q14" s="129">
        <f>SUMIF($D$9:$D$62,$P14,$K$9:$K$62)/SUMIF($D$9:$D$62,$P14,$J$9:$J$62)</f>
        <v>819.9678445229682</v>
      </c>
      <c r="R14" s="232">
        <f>SUMIF($D$9:$D$62,$P14,$K$9:$K$62)</f>
        <v>232050.9</v>
      </c>
      <c r="S14" s="233">
        <f>SUMIF($D$9:$D$62,$P14,$L$9:$L$62)</f>
        <v>114466.56</v>
      </c>
      <c r="T14" s="132">
        <f>IF(R14=0,"-",S14/R14)</f>
        <v>0.4932821204313364</v>
      </c>
      <c r="U14" s="234">
        <f>SUMIF($D$9:$D$62,$P14,$M$9:$M$62)</f>
        <v>205717.6925110429</v>
      </c>
      <c r="V14" s="234">
        <f>SUMIF($D$9:$D$62,$P14,$N$9:$N$62)</f>
        <v>166757.45297437807</v>
      </c>
    </row>
    <row r="15" spans="1:22" ht="16.5">
      <c r="A15" s="119" t="s">
        <v>65</v>
      </c>
      <c r="B15" s="119" t="s">
        <v>66</v>
      </c>
      <c r="C15" s="120" t="s">
        <v>67</v>
      </c>
      <c r="D15" s="121" t="s">
        <v>36</v>
      </c>
      <c r="E15" s="122" t="s">
        <v>68</v>
      </c>
      <c r="F15" s="123">
        <v>0</v>
      </c>
      <c r="G15" s="123">
        <v>0</v>
      </c>
      <c r="H15" s="123">
        <v>0</v>
      </c>
      <c r="I15" s="124">
        <v>194.8</v>
      </c>
      <c r="J15" s="125">
        <v>82</v>
      </c>
      <c r="K15" s="126">
        <f>IF(J15="-",0,I15*J15)</f>
        <v>15973.6</v>
      </c>
      <c r="L15" s="127">
        <f>IF(H15="-","-",K15*H15)</f>
        <v>0</v>
      </c>
      <c r="M15" s="128">
        <f>IF($H15="-","-",(($K15/(-0.8+1)*((1/(1-$H15))^(-0.8+1)-1))))</f>
        <v>0</v>
      </c>
      <c r="N15" s="128">
        <f>IF($H15="-","-",(($K15/(-1.2+1)*((1/(1-$H15))^(-1.2+1)-1))))</f>
        <v>0</v>
      </c>
      <c r="O15" s="57"/>
      <c r="P15" s="87" t="s">
        <v>48</v>
      </c>
      <c r="Q15" s="143">
        <f>SUMIF($D$9:$D$62,$P15,$K$9:$K$62)/SUMIF($D$9:$D$62,$P15,$J$9:$J$62)</f>
        <v>423.3837653273935</v>
      </c>
      <c r="R15" s="235">
        <f>SUMIF($D$9:$D$62,$P15,$K$9:$K$62)</f>
        <v>115566409.2</v>
      </c>
      <c r="S15" s="236">
        <f>SUMIF($D$9:$D$62,$P15,$L$9:$L$62)</f>
        <v>24119352.999999996</v>
      </c>
      <c r="T15" s="146">
        <f>IF(R15=0,"-",S15/R15)</f>
        <v>0.20870556736135049</v>
      </c>
      <c r="U15" s="237">
        <f>SUMIF($D$9:$D$62,$P15,$M$9:$M$62)</f>
        <v>73878420.14866006</v>
      </c>
      <c r="V15" s="237">
        <f>SUMIF($D$9:$D$62,$P15,$N$9:$N$62)</f>
        <v>45597795.58776297</v>
      </c>
    </row>
    <row r="16" spans="1:22" ht="42.75">
      <c r="A16" s="134" t="s">
        <v>69</v>
      </c>
      <c r="B16" s="134" t="s">
        <v>70</v>
      </c>
      <c r="C16" s="135" t="s">
        <v>71</v>
      </c>
      <c r="D16" s="95" t="s">
        <v>50</v>
      </c>
      <c r="E16" s="136" t="s">
        <v>72</v>
      </c>
      <c r="F16" s="137">
        <v>0</v>
      </c>
      <c r="G16" s="137">
        <v>0.1</v>
      </c>
      <c r="H16" s="137">
        <v>0.05</v>
      </c>
      <c r="I16" s="138">
        <v>1857.6</v>
      </c>
      <c r="J16" s="139">
        <v>115</v>
      </c>
      <c r="K16" s="140">
        <f>IF(J16="-",0,I16*J16)</f>
        <v>213624</v>
      </c>
      <c r="L16" s="141">
        <f>IF(H16="-","-",K16*H16)</f>
        <v>10681.2</v>
      </c>
      <c r="M16" s="142">
        <f>IF($H16="-","-",(($K16/(-0.8+1)*((1/(1-$H16))^(-0.8+1)-1))))</f>
        <v>11013.875926673898</v>
      </c>
      <c r="N16" s="142">
        <f>IF($H16="-","-",(($K16/(-1.2+1)*((1/(1-$H16))^(-1.2+1)-1))))</f>
        <v>10901.46590449384</v>
      </c>
      <c r="O16" s="57"/>
      <c r="P16" s="57"/>
      <c r="Q16" s="57"/>
      <c r="R16" s="238"/>
      <c r="S16" s="239"/>
      <c r="T16" s="150"/>
      <c r="U16" s="240"/>
      <c r="V16" s="240"/>
    </row>
    <row r="17" spans="1:22" ht="29.25">
      <c r="A17" s="85" t="s">
        <v>73</v>
      </c>
      <c r="B17" s="85" t="s">
        <v>74</v>
      </c>
      <c r="C17" s="86" t="s">
        <v>75</v>
      </c>
      <c r="D17" s="87" t="s">
        <v>48</v>
      </c>
      <c r="E17" s="88" t="s">
        <v>72</v>
      </c>
      <c r="F17" s="89">
        <v>0</v>
      </c>
      <c r="G17" s="89">
        <v>0.1</v>
      </c>
      <c r="H17" s="89">
        <v>0.05</v>
      </c>
      <c r="I17" s="90">
        <v>1536</v>
      </c>
      <c r="J17" s="91">
        <v>5678</v>
      </c>
      <c r="K17" s="92">
        <f>IF(J17="-",0,I17*J17)</f>
        <v>8721408</v>
      </c>
      <c r="L17" s="93">
        <f>IF(H17="-","-",K17*H17)</f>
        <v>436070.4</v>
      </c>
      <c r="M17" s="94">
        <f>IF($H17="-","-",(($K17/(-0.8+1)*((1/(1-$H17))^(-0.8+1)-1))))</f>
        <v>449652.21893561183</v>
      </c>
      <c r="N17" s="94">
        <f>IF($H17="-","-",(($K17/(-1.2+1)*((1/(1-$H17))^(-1.2+1)-1))))</f>
        <v>445062.97022422485</v>
      </c>
      <c r="O17" s="57"/>
      <c r="P17" s="152" t="s">
        <v>80</v>
      </c>
      <c r="Q17" s="152"/>
      <c r="R17" s="241">
        <f>SUM(R9:R15)</f>
        <v>366464598.8</v>
      </c>
      <c r="S17" s="242">
        <f>SUM(S9:S15)</f>
        <v>35617549.574999996</v>
      </c>
      <c r="T17" s="155">
        <f>IF(R17=0,"-",S17/R17)</f>
        <v>0.09719233369779999</v>
      </c>
      <c r="U17" s="243">
        <f>SUM(U9:U15)</f>
        <v>94081360.38535172</v>
      </c>
      <c r="V17" s="243">
        <f>SUM(V9:V15)</f>
        <v>62078736.58907408</v>
      </c>
    </row>
    <row r="18" spans="1:19" ht="42.75">
      <c r="A18" s="134" t="s">
        <v>254</v>
      </c>
      <c r="B18" s="134" t="s">
        <v>77</v>
      </c>
      <c r="C18" s="135" t="s">
        <v>78</v>
      </c>
      <c r="D18" s="95" t="s">
        <v>50</v>
      </c>
      <c r="E18" s="136" t="s">
        <v>79</v>
      </c>
      <c r="F18" s="137">
        <v>0.1</v>
      </c>
      <c r="G18" s="137">
        <v>0.4</v>
      </c>
      <c r="H18" s="137">
        <v>0.25</v>
      </c>
      <c r="I18" s="138">
        <v>256.7</v>
      </c>
      <c r="J18" s="139">
        <v>32</v>
      </c>
      <c r="K18" s="140">
        <f>IF(J18="-",0,I18*J18)</f>
        <v>8214.4</v>
      </c>
      <c r="L18" s="141">
        <f>IF(H18="-","-",K18*H18)</f>
        <v>2053.6</v>
      </c>
      <c r="M18" s="142">
        <f>IF($H18="-","-",(($K18/(-0.8+1)*((1/(1-$H18))^(-0.8+1)-1))))</f>
        <v>2432.4415995568143</v>
      </c>
      <c r="N18" s="142">
        <f>IF($H18="-","-",(($K18/(-1.2+1)*((1/(1-$H18))^(-1.2+1)-1))))</f>
        <v>2296.437736095786</v>
      </c>
      <c r="O18" s="57"/>
      <c r="S18"/>
    </row>
    <row r="19" spans="1:15" ht="42.75">
      <c r="A19" s="85" t="s">
        <v>81</v>
      </c>
      <c r="B19" s="85" t="s">
        <v>82</v>
      </c>
      <c r="C19" s="86" t="s">
        <v>83</v>
      </c>
      <c r="D19" s="87" t="s">
        <v>48</v>
      </c>
      <c r="E19" s="88" t="s">
        <v>49</v>
      </c>
      <c r="F19" s="89" t="str">
        <f>IF(E19="No aumenta",0,IF(E19="Pequeña",0,IF(E19="Moderada",0.1,IF(E19="Grande",0.4,IF(E19="Esencial",0.9,"-")))))</f>
        <v>-</v>
      </c>
      <c r="G19" s="89" t="str">
        <f>IF(E19="No aumenta",0,IF(E19="Pequeña",0.1,IF(E19="Moderada",0.4,IF(E19="Grande",0.9,IF(E19="Esencial",1,"-")))))</f>
        <v>-</v>
      </c>
      <c r="H19" s="89" t="str">
        <f>IF(F19="-","-",AVERAGE(F19:G19))</f>
        <v>-</v>
      </c>
      <c r="I19" s="90">
        <v>247</v>
      </c>
      <c r="J19" s="91">
        <v>11596</v>
      </c>
      <c r="K19" s="92">
        <f>IF(J19="-",0,I19*J19)</f>
        <v>2864212</v>
      </c>
      <c r="L19" s="93" t="str">
        <f>IF(H19="-","-",K19*H19)</f>
        <v>-</v>
      </c>
      <c r="M19" s="94" t="str">
        <f>IF($H19="-","-",(($K19/(-0.8+1)*((1/(1-$H19))^(-0.8+1)-1))))</f>
        <v>-</v>
      </c>
      <c r="N19" s="94" t="str">
        <f>IF($H19="-","-",(($K19/(-1.2+1)*((1/(1-$H19))^(-1.2+1)-1))))</f>
        <v>-</v>
      </c>
      <c r="O19" s="57"/>
    </row>
    <row r="20" spans="1:15" ht="42.75">
      <c r="A20" s="85" t="s">
        <v>84</v>
      </c>
      <c r="B20" s="85" t="s">
        <v>85</v>
      </c>
      <c r="C20" s="86" t="s">
        <v>86</v>
      </c>
      <c r="D20" s="87" t="s">
        <v>48</v>
      </c>
      <c r="E20" s="88" t="s">
        <v>49</v>
      </c>
      <c r="F20" s="89" t="str">
        <f>IF(E20="No aumenta",0,IF(E20="Pequeña",0,IF(E20="Moderada",0.1,IF(E20="Grande",0.4,IF(E20="Esencial",0.9,"-")))))</f>
        <v>-</v>
      </c>
      <c r="G20" s="89" t="str">
        <f>IF(E20="No aumenta",0,IF(E20="Pequeña",0.1,IF(E20="Moderada",0.4,IF(E20="Grande",0.9,IF(E20="Esencial",1,"-")))))</f>
        <v>-</v>
      </c>
      <c r="H20" s="89" t="str">
        <f>IF(F20="-","-",AVERAGE(F20:G20))</f>
        <v>-</v>
      </c>
      <c r="I20" s="90">
        <v>283.4</v>
      </c>
      <c r="J20" s="91">
        <v>8488</v>
      </c>
      <c r="K20" s="92">
        <f>IF(J20="-",0,I20*J20)</f>
        <v>2405499.1999999997</v>
      </c>
      <c r="L20" s="93" t="str">
        <f>IF(H20="-","-",K20*H20)</f>
        <v>-</v>
      </c>
      <c r="M20" s="94" t="str">
        <f>IF($H20="-","-",(($K20/(-0.8+1)*((1/(1-$H20))^(-0.8+1)-1))))</f>
        <v>-</v>
      </c>
      <c r="N20" s="94" t="str">
        <f>IF($H20="-","-",(($K20/(-1.2+1)*((1/(1-$H20))^(-1.2+1)-1))))</f>
        <v>-</v>
      </c>
      <c r="O20" s="57"/>
    </row>
    <row r="21" spans="1:15" ht="42.75">
      <c r="A21" s="85" t="s">
        <v>281</v>
      </c>
      <c r="B21" s="85" t="s">
        <v>88</v>
      </c>
      <c r="C21" s="86" t="s">
        <v>83</v>
      </c>
      <c r="D21" s="87" t="s">
        <v>48</v>
      </c>
      <c r="E21" s="88" t="s">
        <v>49</v>
      </c>
      <c r="F21" s="89" t="str">
        <f>IF(E21="No aumenta",0,IF(E21="Pequeña",0,IF(E21="Moderada",0.1,IF(E21="Grande",0.4,IF(E21="Esencial",0.9,"-")))))</f>
        <v>-</v>
      </c>
      <c r="G21" s="89" t="str">
        <f>IF(E21="No aumenta",0,IF(E21="Pequeña",0.1,IF(E21="Moderada",0.4,IF(E21="Grande",0.9,IF(E21="Esencial",1,"-")))))</f>
        <v>-</v>
      </c>
      <c r="H21" s="89" t="str">
        <f>IF(F21="-","-",AVERAGE(F21:G21))</f>
        <v>-</v>
      </c>
      <c r="I21" s="90">
        <v>325.3</v>
      </c>
      <c r="J21" s="91">
        <v>3701</v>
      </c>
      <c r="K21" s="92">
        <f>IF(J21="-",0,I21*J21)</f>
        <v>1203935.3</v>
      </c>
      <c r="L21" s="93" t="str">
        <f>IF(H21="-","-",K21*H21)</f>
        <v>-</v>
      </c>
      <c r="M21" s="94" t="str">
        <f>IF($H21="-","-",(($K21/(-0.8+1)*((1/(1-$H21))^(-0.8+1)-1))))</f>
        <v>-</v>
      </c>
      <c r="N21" s="94" t="str">
        <f>IF($H21="-","-",(($K21/(-1.2+1)*((1/(1-$H21))^(-1.2+1)-1))))</f>
        <v>-</v>
      </c>
      <c r="O21" s="57"/>
    </row>
    <row r="22" spans="1:15" ht="29.25">
      <c r="A22" s="64" t="s">
        <v>246</v>
      </c>
      <c r="B22" s="64" t="s">
        <v>90</v>
      </c>
      <c r="C22" s="65" t="s">
        <v>91</v>
      </c>
      <c r="D22" s="66" t="s">
        <v>40</v>
      </c>
      <c r="E22" s="67" t="s">
        <v>35</v>
      </c>
      <c r="F22" s="68">
        <f>IF(E22="No aumenta",0,IF(E22="Pequeña",0,IF(E22="Moderada",0.1,IF(E22="Grande",0.4,IF(E22="Esencial",0.9,"-")))))</f>
        <v>0.4</v>
      </c>
      <c r="G22" s="68">
        <f>IF(E22="No aumenta",0,IF(E22="Pequeña",0.1,IF(E22="Moderada",0.4,IF(E22="Grande",0.9,IF(E22="Esencial",1,"-")))))</f>
        <v>0.9</v>
      </c>
      <c r="H22" s="68">
        <f>IF(F22="-","-",AVERAGE(F22:G22))</f>
        <v>0.65</v>
      </c>
      <c r="I22" s="69">
        <v>1344.2</v>
      </c>
      <c r="J22" s="70">
        <v>16</v>
      </c>
      <c r="K22" s="71">
        <f>IF(J22="-",0,I22*J22)</f>
        <v>21507.2</v>
      </c>
      <c r="L22" s="72">
        <f>IF(H22="-","-",K22*H22)</f>
        <v>13979.68</v>
      </c>
      <c r="M22" s="73">
        <f>IF($H22="-","-",(($K22/(-0.8+1)*((1/(1-$H22))^(-0.8+1)-1))))</f>
        <v>25124.084375758095</v>
      </c>
      <c r="N22" s="73">
        <f>IF($H22="-","-",(($K22/(-1.2+1)*((1/(1-$H22))^(-1.2+1)-1))))</f>
        <v>20365.911495871405</v>
      </c>
      <c r="O22" s="57"/>
    </row>
    <row r="23" spans="1:15" ht="16.5">
      <c r="A23" s="134" t="s">
        <v>95</v>
      </c>
      <c r="B23" s="134" t="s">
        <v>96</v>
      </c>
      <c r="C23" s="135" t="s">
        <v>97</v>
      </c>
      <c r="D23" s="95" t="s">
        <v>50</v>
      </c>
      <c r="E23" s="136" t="s">
        <v>68</v>
      </c>
      <c r="F23" s="137">
        <v>0</v>
      </c>
      <c r="G23" s="137">
        <v>0</v>
      </c>
      <c r="H23" s="137">
        <v>0</v>
      </c>
      <c r="I23" s="138">
        <v>652.7</v>
      </c>
      <c r="J23" s="139">
        <v>16</v>
      </c>
      <c r="K23" s="140">
        <f>IF(J23="-",0,I23*J23)</f>
        <v>10443.2</v>
      </c>
      <c r="L23" s="141">
        <f>IF(H23="-","-",K23*H23)</f>
        <v>0</v>
      </c>
      <c r="M23" s="142">
        <f>IF($H23="-","-",(($K23/(-0.8+1)*((1/(1-$H23))^(-0.8+1)-1))))</f>
        <v>0</v>
      </c>
      <c r="N23" s="142">
        <f>IF($H23="-","-",(($K23/(-1.2+1)*((1/(1-$H23))^(-1.2+1)-1))))</f>
        <v>0</v>
      </c>
      <c r="O23" s="57"/>
    </row>
    <row r="24" spans="1:15" ht="29.25">
      <c r="A24" s="85" t="s">
        <v>101</v>
      </c>
      <c r="B24" s="85" t="s">
        <v>102</v>
      </c>
      <c r="C24" s="86" t="s">
        <v>100</v>
      </c>
      <c r="D24" s="87" t="s">
        <v>48</v>
      </c>
      <c r="E24" s="88" t="s">
        <v>72</v>
      </c>
      <c r="F24" s="89">
        <v>0</v>
      </c>
      <c r="G24" s="89">
        <v>0.1</v>
      </c>
      <c r="H24" s="89">
        <v>0.05</v>
      </c>
      <c r="I24" s="90">
        <v>708.5</v>
      </c>
      <c r="J24" s="91">
        <f>10078+239</f>
        <v>10317</v>
      </c>
      <c r="K24" s="92">
        <f>IF(J24="-",0,I24*J24)</f>
        <v>7309594.5</v>
      </c>
      <c r="L24" s="93">
        <f>IF(H24="-","-",K24*H24)</f>
        <v>365479.72500000003</v>
      </c>
      <c r="M24" s="94">
        <f>IF($H24="-","-",(($K24/(-0.8+1)*((1/(1-$H24))^(-0.8+1)-1))))</f>
        <v>376862.931586797</v>
      </c>
      <c r="N24" s="94">
        <f>IF($H24="-","-",(($K24/(-1.2+1)*((1/(1-$H24))^(-1.2+1)-1))))</f>
        <v>373016.58623294055</v>
      </c>
      <c r="O24" s="57"/>
    </row>
    <row r="25" spans="1:15" ht="29.25">
      <c r="A25" s="85" t="s">
        <v>103</v>
      </c>
      <c r="B25" s="85" t="s">
        <v>104</v>
      </c>
      <c r="C25" s="86" t="s">
        <v>105</v>
      </c>
      <c r="D25" s="87" t="s">
        <v>48</v>
      </c>
      <c r="E25" s="88" t="s">
        <v>35</v>
      </c>
      <c r="F25" s="89">
        <v>0.4</v>
      </c>
      <c r="G25" s="89">
        <v>0.9</v>
      </c>
      <c r="H25" s="89">
        <v>0.65</v>
      </c>
      <c r="I25" s="90">
        <v>371.5</v>
      </c>
      <c r="J25" s="91">
        <v>28124</v>
      </c>
      <c r="K25" s="92">
        <f>IF(J25="-",0,I25*J25)</f>
        <v>10448066</v>
      </c>
      <c r="L25" s="93">
        <f>IF(H25="-","-",K25*H25)</f>
        <v>6791242.9</v>
      </c>
      <c r="M25" s="94">
        <f>IF($H25="-","-",(($K25/(-0.8+1)*((1/(1-$H25))^(-0.8+1)-1))))</f>
        <v>12205126.271550428</v>
      </c>
      <c r="N25" s="94">
        <f>IF($H25="-","-",(($K25/(-1.2+1)*((1/(1-$H25))^(-1.2+1)-1))))</f>
        <v>9893635.036593474</v>
      </c>
      <c r="O25" s="57"/>
    </row>
    <row r="26" spans="1:15" ht="29.25">
      <c r="A26" s="85" t="s">
        <v>106</v>
      </c>
      <c r="B26" s="85" t="s">
        <v>107</v>
      </c>
      <c r="C26" s="86" t="s">
        <v>108</v>
      </c>
      <c r="D26" s="87" t="s">
        <v>48</v>
      </c>
      <c r="E26" s="88" t="s">
        <v>79</v>
      </c>
      <c r="F26" s="89">
        <v>0.1</v>
      </c>
      <c r="G26" s="89">
        <v>0.4</v>
      </c>
      <c r="H26" s="89">
        <v>0.25</v>
      </c>
      <c r="I26" s="90">
        <v>524.4</v>
      </c>
      <c r="J26" s="91">
        <v>2121</v>
      </c>
      <c r="K26" s="92">
        <f>IF(J26="-",0,I26*J26)</f>
        <v>1112252.4</v>
      </c>
      <c r="L26" s="93">
        <f>IF(H26="-","-",K26*H26)</f>
        <v>278063.1</v>
      </c>
      <c r="M26" s="94">
        <f>IF($H26="-","-",(($K26/(-0.8+1)*((1/(1-$H26))^(-0.8+1)-1))))</f>
        <v>329359.29671879933</v>
      </c>
      <c r="N26" s="94">
        <f>IF($H26="-","-",(($K26/(-1.2+1)*((1/(1-$H26))^(-1.2+1)-1))))</f>
        <v>310943.99876109086</v>
      </c>
      <c r="O26" s="57"/>
    </row>
    <row r="27" spans="1:15" ht="16.5">
      <c r="A27" s="64" t="s">
        <v>109</v>
      </c>
      <c r="B27" s="64" t="s">
        <v>110</v>
      </c>
      <c r="C27" s="65" t="s">
        <v>111</v>
      </c>
      <c r="D27" s="66" t="s">
        <v>40</v>
      </c>
      <c r="E27" s="67" t="s">
        <v>79</v>
      </c>
      <c r="F27" s="68">
        <f>IF(E27="No aumenta",0,IF(E27="Pequeña",0,IF(E27="Moderada",0.1,IF(E27="Grande",0.4,IF(E27="Esencial",0.9,"-")))))</f>
        <v>0.1</v>
      </c>
      <c r="G27" s="68">
        <f>IF(E27="No aumenta",0,IF(E27="Pequeña",0.1,IF(E27="Moderada",0.4,IF(E27="Grande",0.9,IF(E27="Esencial",1,"-")))))</f>
        <v>0.4</v>
      </c>
      <c r="H27" s="68">
        <f>IF(F27="-","-",AVERAGE(F27:G27))</f>
        <v>0.25</v>
      </c>
      <c r="I27" s="69">
        <v>1167.4</v>
      </c>
      <c r="J27" s="70">
        <v>488</v>
      </c>
      <c r="K27" s="71">
        <f>IF(J27="-",0,I27*J27)</f>
        <v>569691.2000000001</v>
      </c>
      <c r="L27" s="72">
        <f>IF(H27="-","-",K27*H27)</f>
        <v>142422.80000000002</v>
      </c>
      <c r="M27" s="73">
        <f>IF($H27="-","-",(($K27/(-0.8+1)*((1/(1-$H27))^(-0.8+1)-1))))</f>
        <v>168696.5053785354</v>
      </c>
      <c r="N27" s="73">
        <f>IF($H27="-","-",(($K27/(-1.2+1)*((1/(1-$H27))^(-1.2+1)-1))))</f>
        <v>159264.26392696874</v>
      </c>
      <c r="O27" s="57"/>
    </row>
    <row r="28" spans="1:15" ht="42.75">
      <c r="A28" s="85" t="s">
        <v>112</v>
      </c>
      <c r="B28" s="85" t="s">
        <v>113</v>
      </c>
      <c r="C28" s="86" t="s">
        <v>114</v>
      </c>
      <c r="D28" s="87" t="s">
        <v>48</v>
      </c>
      <c r="E28" s="88" t="s">
        <v>62</v>
      </c>
      <c r="F28" s="89" t="s">
        <v>63</v>
      </c>
      <c r="G28" s="89" t="s">
        <v>63</v>
      </c>
      <c r="H28" s="89" t="s">
        <v>63</v>
      </c>
      <c r="I28" s="90">
        <v>1879.1</v>
      </c>
      <c r="J28" s="91">
        <v>619</v>
      </c>
      <c r="K28" s="92">
        <f>IF(J28="-",0,I28*J28)</f>
        <v>1163162.9</v>
      </c>
      <c r="L28" s="93" t="str">
        <f>IF(H28="-","-",K28*H28)</f>
        <v>-</v>
      </c>
      <c r="M28" s="94" t="str">
        <f>IF($H28="-","-",(($K28/(-0.8+1)*((1/(1-$H28))^(-0.8+1)-1))))</f>
        <v>-</v>
      </c>
      <c r="N28" s="94" t="str">
        <f>IF($H28="-","-",(($K28/(-1.2+1)*((1/(1-$H28))^(-1.2+1)-1))))</f>
        <v>-</v>
      </c>
      <c r="O28" s="57"/>
    </row>
    <row r="29" spans="1:15" ht="29.25">
      <c r="A29" s="64" t="s">
        <v>115</v>
      </c>
      <c r="B29" s="64" t="s">
        <v>116</v>
      </c>
      <c r="C29" s="65" t="s">
        <v>117</v>
      </c>
      <c r="D29" s="66" t="s">
        <v>40</v>
      </c>
      <c r="E29" s="67" t="s">
        <v>72</v>
      </c>
      <c r="F29" s="68">
        <f>IF(E29="No aumenta",0,IF(E29="Pequeña",0,IF(E29="Moderada",0.1,IF(E29="Grande",0.4,IF(E29="Esencial",0.9,"-")))))</f>
        <v>0</v>
      </c>
      <c r="G29" s="68">
        <f>IF(E29="No aumenta",0,IF(E29="Pequeña",0.1,IF(E29="Moderada",0.4,IF(E29="Grande",0.9,IF(E29="Esencial",1,"-")))))</f>
        <v>0.1</v>
      </c>
      <c r="H29" s="68">
        <f>IF(F29="-","-",AVERAGE(F29:G29))</f>
        <v>0.05</v>
      </c>
      <c r="I29" s="69">
        <v>149</v>
      </c>
      <c r="J29" s="70">
        <v>28</v>
      </c>
      <c r="K29" s="71">
        <f>IF(J29="-",0,I29*J29)</f>
        <v>4172</v>
      </c>
      <c r="L29" s="72">
        <f>IF(H29="-","-",K29*H29)</f>
        <v>208.60000000000002</v>
      </c>
      <c r="M29" s="73">
        <f>IF($H29="-","-",(($K29/(-0.8+1)*((1/(1-$H29))^(-0.8+1)-1))))</f>
        <v>215.09704137214686</v>
      </c>
      <c r="N29" s="73">
        <f>IF($H29="-","-",(($K29/(-1.2+1)*((1/(1-$H29))^(-1.2+1)-1))))</f>
        <v>212.9017140094198</v>
      </c>
      <c r="O29" s="57"/>
    </row>
    <row r="30" spans="1:15" ht="16.5">
      <c r="A30" s="64" t="s">
        <v>118</v>
      </c>
      <c r="B30" s="64" t="s">
        <v>119</v>
      </c>
      <c r="C30" s="65" t="s">
        <v>120</v>
      </c>
      <c r="D30" s="66" t="s">
        <v>40</v>
      </c>
      <c r="E30" s="67" t="s">
        <v>68</v>
      </c>
      <c r="F30" s="68">
        <f>IF(E30="No aumenta",0,IF(E30="Pequeña",0,IF(E30="Moderada",0.1,IF(E30="Grande",0.4,IF(E30="Esencial",0.9,"-")))))</f>
        <v>0</v>
      </c>
      <c r="G30" s="68">
        <f>IF(E30="No aumenta",0,IF(E30="Pequeña",0.1,IF(E30="Moderada",0.4,IF(E30="Grande",0.9,IF(E30="Esencial",1,"-")))))</f>
        <v>0</v>
      </c>
      <c r="H30" s="68">
        <f>IF(F30="-","-",AVERAGE(F30:G30))</f>
        <v>0</v>
      </c>
      <c r="I30" s="69">
        <v>601</v>
      </c>
      <c r="J30" s="70">
        <f>10441+280</f>
        <v>10721</v>
      </c>
      <c r="K30" s="71">
        <f>IF(J30="-",0,I30*J30)</f>
        <v>6443321</v>
      </c>
      <c r="L30" s="72">
        <f>IF(H30="-","-",K30*H30)</f>
        <v>0</v>
      </c>
      <c r="M30" s="73">
        <f>IF($H30="-","-",(($K30/(-0.8+1)*((1/(1-$H30))^(-0.8+1)-1))))</f>
        <v>0</v>
      </c>
      <c r="N30" s="73">
        <f>IF($H30="-","-",(($K30/(-1.2+1)*((1/(1-$H30))^(-1.2+1)-1))))</f>
        <v>0</v>
      </c>
      <c r="O30" s="57"/>
    </row>
    <row r="31" spans="1:15" ht="29.25">
      <c r="A31" s="47" t="s">
        <v>121</v>
      </c>
      <c r="B31" s="47" t="s">
        <v>122</v>
      </c>
      <c r="C31" s="48" t="s">
        <v>123</v>
      </c>
      <c r="D31" s="49" t="s">
        <v>34</v>
      </c>
      <c r="E31" s="50" t="s">
        <v>68</v>
      </c>
      <c r="F31" s="51">
        <f>IF(E31="No aumenta",0,IF(E31="Pequeña",0,IF(E31="Moderada",0.1,IF(E31="Grande",0.4,IF(E31="Esencial",0.9,"-")))))</f>
        <v>0</v>
      </c>
      <c r="G31" s="51">
        <f>IF(E31="No aumenta",0,IF(E31="Pequeña",0.1,IF(E31="Moderada",0.4,IF(E31="Grande",0.9,IF(E31="Esencial",1,"-")))))</f>
        <v>0</v>
      </c>
      <c r="H31" s="51">
        <f>IF(F31="-","-",AVERAGE(F31:G31))</f>
        <v>0</v>
      </c>
      <c r="I31" s="157">
        <v>1668.3</v>
      </c>
      <c r="J31" s="158">
        <v>1</v>
      </c>
      <c r="K31" s="54">
        <f>IF(J31="-",0,I31*J31)</f>
        <v>1668.3</v>
      </c>
      <c r="L31" s="55">
        <f>IF(H31="-","-",K31*H31)</f>
        <v>0</v>
      </c>
      <c r="M31" s="56">
        <f>IF($H31="-","-",(($K31/(-0.8+1)*((1/(1-$H31))^(-0.8+1)-1))))</f>
        <v>0</v>
      </c>
      <c r="N31" s="56">
        <f>IF($H31="-","-",(($K31/(-1.2+1)*((1/(1-$H31))^(-1.2+1)-1))))</f>
        <v>0</v>
      </c>
      <c r="O31" s="57"/>
    </row>
    <row r="32" spans="1:15" ht="16.5">
      <c r="A32" s="64" t="s">
        <v>127</v>
      </c>
      <c r="B32" s="64" t="s">
        <v>128</v>
      </c>
      <c r="C32" s="65" t="s">
        <v>129</v>
      </c>
      <c r="D32" s="171" t="s">
        <v>40</v>
      </c>
      <c r="E32" s="67" t="s">
        <v>130</v>
      </c>
      <c r="F32" s="68">
        <f>IF(E32="No aumenta",0,IF(E32="Pequeña",0,IF(E32="Moderada",0.1,IF(E32="Grande",0.4,IF(E32="Esencial",0.9,"-")))))</f>
        <v>0.9</v>
      </c>
      <c r="G32" s="68">
        <f>IF(E32="No aumenta",0,IF(E32="Pequeña",0.1,IF(E32="Moderada",0.4,IF(E32="Grande",0.9,IF(E32="Esencial",1,"-")))))</f>
        <v>1</v>
      </c>
      <c r="H32" s="68">
        <f>IF(F32="-","-",AVERAGE(F32:G32))</f>
        <v>0.95</v>
      </c>
      <c r="I32" s="69">
        <v>706</v>
      </c>
      <c r="J32" s="70">
        <v>39</v>
      </c>
      <c r="K32" s="71">
        <f>IF(J32="-",0,I32*J32)</f>
        <v>27534</v>
      </c>
      <c r="L32" s="72">
        <f>IF(H32="-","-",K32*H32)</f>
        <v>26157.3</v>
      </c>
      <c r="M32" s="73">
        <f>IF($H32="-","-",(($K32/(-0.8+1)*((1/(1-$H32))^(-0.8+1)-1))))</f>
        <v>112967.07383060044</v>
      </c>
      <c r="N32" s="73">
        <f>IF($H32="-","-",(($K32/(-1.2+1)*((1/(1-$H32))^(-1.2+1)-1))))</f>
        <v>62050.585001523374</v>
      </c>
      <c r="O32" s="57"/>
    </row>
    <row r="33" spans="1:15" ht="29.25">
      <c r="A33" s="64" t="s">
        <v>131</v>
      </c>
      <c r="B33" s="64" t="s">
        <v>132</v>
      </c>
      <c r="C33" s="65" t="s">
        <v>133</v>
      </c>
      <c r="D33" s="66" t="s">
        <v>40</v>
      </c>
      <c r="E33" s="67" t="s">
        <v>72</v>
      </c>
      <c r="F33" s="68">
        <v>0</v>
      </c>
      <c r="G33" s="68">
        <v>0.1</v>
      </c>
      <c r="H33" s="68">
        <v>0.05</v>
      </c>
      <c r="I33" s="69">
        <v>164.4</v>
      </c>
      <c r="J33" s="70">
        <v>2920</v>
      </c>
      <c r="K33" s="71">
        <f>IF(J33="-",0,I33*J33)</f>
        <v>480048</v>
      </c>
      <c r="L33" s="72">
        <f>IF(H33="-","-",K33*H33)</f>
        <v>24002.4</v>
      </c>
      <c r="M33" s="73">
        <f>IF($H33="-","-",(($K33/(-0.8+1)*((1/(1-$H33))^(-0.8+1)-1))))</f>
        <v>24749.977113282923</v>
      </c>
      <c r="N33" s="73">
        <f>IF($H33="-","-",(($K33/(-1.2+1)*((1/(1-$H33))^(-1.2+1)-1))))</f>
        <v>24497.373443622713</v>
      </c>
      <c r="O33" s="57"/>
    </row>
    <row r="34" spans="1:15" ht="16.5">
      <c r="A34" s="134" t="s">
        <v>134</v>
      </c>
      <c r="B34" s="134" t="s">
        <v>135</v>
      </c>
      <c r="C34" s="135" t="s">
        <v>136</v>
      </c>
      <c r="D34" s="95" t="s">
        <v>50</v>
      </c>
      <c r="E34" s="136" t="s">
        <v>68</v>
      </c>
      <c r="F34" s="137">
        <v>0</v>
      </c>
      <c r="G34" s="137">
        <v>0</v>
      </c>
      <c r="H34" s="137">
        <v>0</v>
      </c>
      <c r="I34" s="138">
        <v>761.9</v>
      </c>
      <c r="J34" s="139">
        <v>14</v>
      </c>
      <c r="K34" s="140">
        <f>IF(J34="-",0,I34*J34)</f>
        <v>10666.6</v>
      </c>
      <c r="L34" s="141">
        <f>IF(H34="-","-",K34*H34)</f>
        <v>0</v>
      </c>
      <c r="M34" s="142">
        <f>IF($H34="-","-",(($K34/(-0.8+1)*((1/(1-$H34))^(-0.8+1)-1))))</f>
        <v>0</v>
      </c>
      <c r="N34" s="142">
        <f>IF($H34="-","-",(($K34/(-1.2+1)*((1/(1-$H34))^(-1.2+1)-1))))</f>
        <v>0</v>
      </c>
      <c r="O34" s="57"/>
    </row>
    <row r="35" spans="1:15" ht="42.75">
      <c r="A35" s="85" t="s">
        <v>137</v>
      </c>
      <c r="B35" s="85" t="s">
        <v>138</v>
      </c>
      <c r="C35" s="86" t="s">
        <v>139</v>
      </c>
      <c r="D35" s="87" t="s">
        <v>48</v>
      </c>
      <c r="E35" s="88" t="s">
        <v>49</v>
      </c>
      <c r="F35" s="89" t="str">
        <f>IF(E35="No aumenta",0,IF(E35="Pequeña",0,IF(E35="Moderada",0.1,IF(E35="Grande",0.4,IF(E35="Esencial",0.9,"-")))))</f>
        <v>-</v>
      </c>
      <c r="G35" s="89" t="str">
        <f>IF(E35="No aumenta",0,IF(E35="Pequeña",0.1,IF(E35="Moderada",0.4,IF(E35="Grande",0.9,IF(E35="Esencial",1,"-")))))</f>
        <v>-</v>
      </c>
      <c r="H35" s="89" t="str">
        <f>IF(F35="-","-",AVERAGE(F35:G35))</f>
        <v>-</v>
      </c>
      <c r="I35" s="90">
        <v>300</v>
      </c>
      <c r="J35" s="91">
        <v>13995</v>
      </c>
      <c r="K35" s="92">
        <f>IF(J35="-",0,I35*J35)</f>
        <v>4198500</v>
      </c>
      <c r="L35" s="93" t="str">
        <f>IF(H35="-","-",K35*H35)</f>
        <v>-</v>
      </c>
      <c r="M35" s="94" t="str">
        <f>IF($H35="-","-",(($K35/(-0.8+1)*((1/(1-$H35))^(-0.8+1)-1))))</f>
        <v>-</v>
      </c>
      <c r="N35" s="94" t="str">
        <f>IF($H35="-","-",(($K35/(-1.2+1)*((1/(1-$H35))^(-1.2+1)-1))))</f>
        <v>-</v>
      </c>
      <c r="O35" s="57"/>
    </row>
    <row r="36" spans="1:15" ht="16.5">
      <c r="A36" s="134" t="s">
        <v>140</v>
      </c>
      <c r="B36" s="134" t="s">
        <v>141</v>
      </c>
      <c r="C36" s="172" t="s">
        <v>142</v>
      </c>
      <c r="D36" s="173" t="s">
        <v>50</v>
      </c>
      <c r="E36" s="137" t="s">
        <v>68</v>
      </c>
      <c r="F36" s="137">
        <v>0</v>
      </c>
      <c r="G36" s="137">
        <v>0</v>
      </c>
      <c r="H36" s="137">
        <v>0</v>
      </c>
      <c r="I36" s="138">
        <v>238.5</v>
      </c>
      <c r="J36" s="139">
        <v>75</v>
      </c>
      <c r="K36" s="140">
        <f>IF(J36="-",0,I36*J36)</f>
        <v>17887.5</v>
      </c>
      <c r="L36" s="141">
        <f>IF(H36="-","-",K36*H36)</f>
        <v>0</v>
      </c>
      <c r="M36" s="142">
        <f>IF($H36="-","-",(($K36/(-0.8+1)*((1/(1-$H36))^(-0.8+1)-1))))</f>
        <v>0</v>
      </c>
      <c r="N36" s="142">
        <f>IF($H36="-","-",(($K36/(-1.2+1)*((1/(1-$H36))^(-1.2+1)-1))))</f>
        <v>0</v>
      </c>
      <c r="O36" s="57"/>
    </row>
    <row r="37" spans="1:15" ht="16.5">
      <c r="A37" s="119" t="s">
        <v>143</v>
      </c>
      <c r="B37" s="119" t="s">
        <v>144</v>
      </c>
      <c r="C37" s="120" t="s">
        <v>145</v>
      </c>
      <c r="D37" s="121" t="s">
        <v>36</v>
      </c>
      <c r="E37" s="122" t="s">
        <v>68</v>
      </c>
      <c r="F37" s="123">
        <v>0</v>
      </c>
      <c r="G37" s="123">
        <v>0</v>
      </c>
      <c r="H37" s="123">
        <v>0</v>
      </c>
      <c r="I37" s="124">
        <v>216.9</v>
      </c>
      <c r="J37" s="125">
        <v>1583</v>
      </c>
      <c r="K37" s="126">
        <f>IF(J37="-",0,I37*J37)</f>
        <v>343352.7</v>
      </c>
      <c r="L37" s="127">
        <f>IF(H37="-","-",K37*H37)</f>
        <v>0</v>
      </c>
      <c r="M37" s="128">
        <f>IF($H37="-","-",(($K37/(-0.8+1)*((1/(1-$H37))^(-0.8+1)-1))))</f>
        <v>0</v>
      </c>
      <c r="N37" s="128">
        <f>IF($H37="-","-",(($K37/(-1.2+1)*((1/(1-$H37))^(-1.2+1)-1))))</f>
        <v>0</v>
      </c>
      <c r="O37" s="57"/>
    </row>
    <row r="38" spans="1:15" ht="29.25">
      <c r="A38" s="85" t="s">
        <v>146</v>
      </c>
      <c r="B38" s="85" t="s">
        <v>147</v>
      </c>
      <c r="C38" s="86" t="s">
        <v>148</v>
      </c>
      <c r="D38" s="87" t="s">
        <v>48</v>
      </c>
      <c r="E38" s="88" t="s">
        <v>68</v>
      </c>
      <c r="F38" s="89">
        <f>IF(E38="No aumenta",0,IF(E38="Pequeña",0,IF(E38="Moderada",0.1,IF(E38="Grande",0.4,IF(E38="Esencial",0.9,"-")))))</f>
        <v>0</v>
      </c>
      <c r="G38" s="89">
        <f>IF(E38="No aumenta",0,IF(E38="Pequeña",0.1,IF(E38="Moderada",0.4,IF(E38="Grande",0.9,IF(E38="Esencial",1,"-")))))</f>
        <v>0</v>
      </c>
      <c r="H38" s="89">
        <f>IF(F38="-","-",AVERAGE(F38:G38))</f>
        <v>0</v>
      </c>
      <c r="I38" s="90">
        <v>1034.6</v>
      </c>
      <c r="J38" s="91">
        <v>42</v>
      </c>
      <c r="K38" s="92">
        <f>IF(J38="-",0,I38*J38)</f>
        <v>43453.2</v>
      </c>
      <c r="L38" s="93">
        <f>IF(H38="-","-",K38*H38)</f>
        <v>0</v>
      </c>
      <c r="M38" s="94">
        <f>IF($H38="-","-",(($K38/(-0.8+1)*((1/(1-$H38))^(-0.8+1)-1))))</f>
        <v>0</v>
      </c>
      <c r="N38" s="94">
        <f>IF($H38="-","-",(($K38/(-1.2+1)*((1/(1-$H38))^(-1.2+1)-1))))</f>
        <v>0</v>
      </c>
      <c r="O38" s="57"/>
    </row>
    <row r="39" spans="1:15" ht="16.5">
      <c r="A39" s="119" t="s">
        <v>149</v>
      </c>
      <c r="B39" s="119" t="s">
        <v>150</v>
      </c>
      <c r="C39" s="120" t="s">
        <v>151</v>
      </c>
      <c r="D39" s="121" t="s">
        <v>36</v>
      </c>
      <c r="E39" s="122" t="s">
        <v>68</v>
      </c>
      <c r="F39" s="123">
        <v>0</v>
      </c>
      <c r="G39" s="123">
        <v>0</v>
      </c>
      <c r="H39" s="123">
        <v>0</v>
      </c>
      <c r="I39" s="124">
        <v>181.5</v>
      </c>
      <c r="J39" s="125">
        <v>196</v>
      </c>
      <c r="K39" s="126">
        <f>IF(J39="-",0,I39*J39)</f>
        <v>35574</v>
      </c>
      <c r="L39" s="127">
        <f>IF(H39="-","-",K39*H39)</f>
        <v>0</v>
      </c>
      <c r="M39" s="128">
        <f>IF($H39="-","-",(($K39/(-0.8+1)*((1/(1-$H39))^(-0.8+1)-1))))</f>
        <v>0</v>
      </c>
      <c r="N39" s="128">
        <f>IF($H39="-","-",(($K39/(-1.2+1)*((1/(1-$H39))^(-1.2+1)-1))))</f>
        <v>0</v>
      </c>
      <c r="O39" s="57"/>
    </row>
    <row r="40" spans="1:15" ht="16.5">
      <c r="A40" s="174" t="s">
        <v>152</v>
      </c>
      <c r="B40" s="174" t="s">
        <v>153</v>
      </c>
      <c r="C40" s="175" t="s">
        <v>154</v>
      </c>
      <c r="D40" s="79" t="s">
        <v>44</v>
      </c>
      <c r="E40" s="176" t="s">
        <v>68</v>
      </c>
      <c r="F40" s="177">
        <f>IF(E40="No aumenta",0,IF(E40="Pequeña",0,IF(E40="Moderada",0.1,IF(E40="Grande",0.4,IF(E40="Esencial",0.9,"-")))))</f>
        <v>0</v>
      </c>
      <c r="G40" s="177">
        <f>IF(E40="No aumenta",0,IF(E40="Pequeña",0.1,IF(E40="Moderada",0.4,IF(E40="Grande",0.9,IF(E40="Esencial",1,"-")))))</f>
        <v>0</v>
      </c>
      <c r="H40" s="177">
        <f>IF(F40="-","-",AVERAGE(F40:G40))</f>
        <v>0</v>
      </c>
      <c r="I40" s="178">
        <v>396.6</v>
      </c>
      <c r="J40" s="179">
        <f>139+142</f>
        <v>281</v>
      </c>
      <c r="K40" s="180">
        <f>IF(J40="-",0,I40*J40)</f>
        <v>111444.6</v>
      </c>
      <c r="L40" s="181">
        <f>IF(H40="-","-",K40*H40)</f>
        <v>0</v>
      </c>
      <c r="M40" s="182">
        <f>IF($H40="-","-",(($K40/(-0.8+1)*((1/(1-$H40))^(-0.8+1)-1))))</f>
        <v>0</v>
      </c>
      <c r="N40" s="182">
        <f>IF($H40="-","-",(($K40/(-1.2+1)*((1/(1-$H40))^(-1.2+1)-1))))</f>
        <v>0</v>
      </c>
      <c r="O40" s="57"/>
    </row>
    <row r="41" spans="1:15" ht="42.75">
      <c r="A41" s="85" t="s">
        <v>155</v>
      </c>
      <c r="B41" s="85" t="s">
        <v>156</v>
      </c>
      <c r="C41" s="86" t="s">
        <v>157</v>
      </c>
      <c r="D41" s="87" t="s">
        <v>48</v>
      </c>
      <c r="E41" s="88" t="s">
        <v>49</v>
      </c>
      <c r="F41" s="89" t="s">
        <v>63</v>
      </c>
      <c r="G41" s="89" t="s">
        <v>63</v>
      </c>
      <c r="H41" s="89" t="s">
        <v>63</v>
      </c>
      <c r="I41" s="90">
        <v>677.7</v>
      </c>
      <c r="J41" s="91">
        <v>138</v>
      </c>
      <c r="K41" s="92">
        <f>IF(J41="-",0,I41*J41)</f>
        <v>93522.6</v>
      </c>
      <c r="L41" s="93" t="str">
        <f>IF(H41="-","-",K41*H41)</f>
        <v>-</v>
      </c>
      <c r="M41" s="94" t="str">
        <f>IF($H41="-","-",(($K41/(-0.8+1)*((1/(1-$H41))^(-0.8+1)-1))))</f>
        <v>-</v>
      </c>
      <c r="N41" s="94" t="str">
        <f>IF($H41="-","-",(($K41/(-1.2+1)*((1/(1-$H41))^(-1.2+1)-1))))</f>
        <v>-</v>
      </c>
      <c r="O41" s="57"/>
    </row>
    <row r="42" spans="1:15" ht="42.75">
      <c r="A42" s="85" t="s">
        <v>158</v>
      </c>
      <c r="B42" s="85" t="s">
        <v>159</v>
      </c>
      <c r="C42" s="86" t="s">
        <v>157</v>
      </c>
      <c r="D42" s="87" t="s">
        <v>48</v>
      </c>
      <c r="E42" s="88" t="s">
        <v>49</v>
      </c>
      <c r="F42" s="89" t="s">
        <v>63</v>
      </c>
      <c r="G42" s="89" t="s">
        <v>63</v>
      </c>
      <c r="H42" s="89" t="s">
        <v>63</v>
      </c>
      <c r="I42" s="90">
        <v>174.9</v>
      </c>
      <c r="J42" s="91">
        <v>8761</v>
      </c>
      <c r="K42" s="92">
        <f>IF(J42="-",0,I42*J42)</f>
        <v>1532298.9000000001</v>
      </c>
      <c r="L42" s="93" t="str">
        <f>IF(H42="-","-",K42*H42)</f>
        <v>-</v>
      </c>
      <c r="M42" s="94" t="str">
        <f>IF($H42="-","-",(($K42/(-0.8+1)*((1/(1-$H42))^(-0.8+1)-1))))</f>
        <v>-</v>
      </c>
      <c r="N42" s="94" t="str">
        <f>IF($H42="-","-",(($K42/(-1.2+1)*((1/(1-$H42))^(-1.2+1)-1))))</f>
        <v>-</v>
      </c>
      <c r="O42" s="57"/>
    </row>
    <row r="43" spans="1:15" ht="16.5">
      <c r="A43" s="64" t="s">
        <v>160</v>
      </c>
      <c r="B43" s="64" t="s">
        <v>161</v>
      </c>
      <c r="C43" s="65" t="s">
        <v>162</v>
      </c>
      <c r="D43" s="66" t="s">
        <v>40</v>
      </c>
      <c r="E43" s="67" t="s">
        <v>72</v>
      </c>
      <c r="F43" s="68">
        <v>0</v>
      </c>
      <c r="G43" s="68">
        <v>0.1</v>
      </c>
      <c r="H43" s="68">
        <v>0.05</v>
      </c>
      <c r="I43" s="69">
        <v>198.6</v>
      </c>
      <c r="J43" s="70">
        <v>14202</v>
      </c>
      <c r="K43" s="71">
        <f>IF(J43="-",0,I43*J43)</f>
        <v>2820517.1999999997</v>
      </c>
      <c r="L43" s="72">
        <f>IF(H43="-","-",K43*H43)</f>
        <v>141025.86</v>
      </c>
      <c r="M43" s="73">
        <f>IF($H43="-","-",(($K43/(-0.8+1)*((1/(1-$H43))^(-0.8+1)-1))))</f>
        <v>145418.24181669505</v>
      </c>
      <c r="N43" s="73">
        <f>IF($H43="-","-",(($K43/(-1.2+1)*((1/(1-$H43))^(-1.2+1)-1))))</f>
        <v>143934.07149401953</v>
      </c>
      <c r="O43" s="57"/>
    </row>
    <row r="44" spans="1:15" ht="56.25">
      <c r="A44" s="85" t="s">
        <v>163</v>
      </c>
      <c r="B44" s="85" t="s">
        <v>164</v>
      </c>
      <c r="C44" s="86" t="s">
        <v>165</v>
      </c>
      <c r="D44" s="87" t="s">
        <v>48</v>
      </c>
      <c r="E44" s="88" t="s">
        <v>130</v>
      </c>
      <c r="F44" s="89">
        <f>IF(E44="No aumenta",0,IF(E44="Pequeña",0,IF(E44="Moderada",0.1,IF(E44="Grande",0.4,IF(E44="Esencial",0.9,"-")))))</f>
        <v>0.9</v>
      </c>
      <c r="G44" s="89">
        <f>IF(E44="No aumenta",0,IF(E44="Pequeña",0.1,IF(E44="Moderada",0.4,IF(E44="Grande",0.9,IF(E44="Esencial",1,"-")))))</f>
        <v>1</v>
      </c>
      <c r="H44" s="89">
        <f>IF(F44="-","-",AVERAGE(F44:G44))</f>
        <v>0.95</v>
      </c>
      <c r="I44" s="90">
        <v>259.9</v>
      </c>
      <c r="J44" s="91">
        <v>3748</v>
      </c>
      <c r="K44" s="92">
        <f>IF(J44="-",0,I44*J44)</f>
        <v>974105.2</v>
      </c>
      <c r="L44" s="93">
        <f>IF(H44="-","-",K44*H44)</f>
        <v>925399.94</v>
      </c>
      <c r="M44" s="94">
        <f>IF($H44="-","-",(($K44/(-0.8+1)*((1/(1-$H44))^(-0.8+1)-1))))</f>
        <v>3996579.285507801</v>
      </c>
      <c r="N44" s="94">
        <f>IF($H44="-","-",(($K44/(-1.2+1)*((1/(1-$H44))^(-1.2+1)-1))))</f>
        <v>2195242.1556267133</v>
      </c>
      <c r="O44" s="57"/>
    </row>
    <row r="45" spans="1:15" ht="42.75">
      <c r="A45" s="64" t="s">
        <v>166</v>
      </c>
      <c r="B45" s="64" t="s">
        <v>167</v>
      </c>
      <c r="C45" s="65" t="s">
        <v>168</v>
      </c>
      <c r="D45" s="66" t="s">
        <v>40</v>
      </c>
      <c r="E45" s="67" t="s">
        <v>35</v>
      </c>
      <c r="F45" s="68">
        <v>0.4</v>
      </c>
      <c r="G45" s="68">
        <v>0.9</v>
      </c>
      <c r="H45" s="68">
        <v>0.65</v>
      </c>
      <c r="I45" s="69">
        <v>532.1</v>
      </c>
      <c r="J45" s="70">
        <v>2056</v>
      </c>
      <c r="K45" s="71">
        <f>IF(J45="-",0,I45*J45)</f>
        <v>1093997.6</v>
      </c>
      <c r="L45" s="72">
        <f>IF(H45="-","-",K45*H45)</f>
        <v>711098.4400000001</v>
      </c>
      <c r="M45" s="73">
        <f>IF($H45="-","-",(($K45/(-0.8+1)*((1/(1-$H45))^(-0.8+1)-1))))</f>
        <v>1277976.120056393</v>
      </c>
      <c r="N45" s="73">
        <f>IF($H45="-","-",(($K45/(-1.2+1)*((1/(1-$H45))^(-1.2+1)-1))))</f>
        <v>1035944.1628057455</v>
      </c>
      <c r="O45" s="57"/>
    </row>
    <row r="46" spans="1:15" ht="16.5">
      <c r="A46" s="64" t="s">
        <v>169</v>
      </c>
      <c r="B46" s="64" t="s">
        <v>170</v>
      </c>
      <c r="C46" s="65" t="s">
        <v>171</v>
      </c>
      <c r="D46" s="66" t="s">
        <v>40</v>
      </c>
      <c r="E46" s="67" t="s">
        <v>35</v>
      </c>
      <c r="F46" s="68">
        <v>0.4</v>
      </c>
      <c r="G46" s="68">
        <v>0.9</v>
      </c>
      <c r="H46" s="68">
        <v>0.65</v>
      </c>
      <c r="I46" s="69">
        <v>427.4</v>
      </c>
      <c r="J46" s="70">
        <v>2071</v>
      </c>
      <c r="K46" s="71">
        <f>IF(J46="-",0,I46*J46)</f>
        <v>885145.3999999999</v>
      </c>
      <c r="L46" s="72">
        <f>IF(H46="-","-",K46*H46)</f>
        <v>575344.51</v>
      </c>
      <c r="M46" s="73">
        <f>IF($H46="-","-",(($K46/(-0.8+1)*((1/(1-$H46))^(-0.8+1)-1))))</f>
        <v>1034001.0654299094</v>
      </c>
      <c r="N46" s="73">
        <f>IF($H46="-","-",(($K46/(-1.2+1)*((1/(1-$H46))^(-1.2+1)-1))))</f>
        <v>838174.7915757371</v>
      </c>
      <c r="O46" s="57"/>
    </row>
    <row r="47" spans="1:15" ht="29.25">
      <c r="A47" s="134" t="s">
        <v>172</v>
      </c>
      <c r="B47" s="134" t="s">
        <v>173</v>
      </c>
      <c r="C47" s="135" t="s">
        <v>174</v>
      </c>
      <c r="D47" s="95" t="s">
        <v>50</v>
      </c>
      <c r="E47" s="136" t="s">
        <v>68</v>
      </c>
      <c r="F47" s="137">
        <f>IF(E47="No aumenta",0,IF(E47="Pequeña",0,IF(E47="Moderada",0.1,IF(E47="Grande",0.4,IF(E47="Esencial",0.9,"-")))))</f>
        <v>0</v>
      </c>
      <c r="G47" s="137">
        <f>IF(E47="No aumenta",0,IF(E47="Pequeña",0.1,IF(E47="Moderada",0.4,IF(E47="Grande",0.9,IF(E47="Esencial",1,"-")))))</f>
        <v>0</v>
      </c>
      <c r="H47" s="137">
        <f>IF(F47="-","-",AVERAGE(F47:G47))</f>
        <v>0</v>
      </c>
      <c r="I47" s="138">
        <v>223.6</v>
      </c>
      <c r="J47" s="139">
        <v>25</v>
      </c>
      <c r="K47" s="140">
        <f>IF(J47="-",0,I47*J47)</f>
        <v>5590</v>
      </c>
      <c r="L47" s="141">
        <f>IF(H47="-","-",K47*H47)</f>
        <v>0</v>
      </c>
      <c r="M47" s="142">
        <f>IF($H47="-","-",(($K47/(-0.8+1)*((1/(1-$H47))^(-0.8+1)-1))))</f>
        <v>0</v>
      </c>
      <c r="N47" s="142">
        <f>IF($H47="-","-",(($K47/(-1.2+1)*((1/(1-$H47))^(-1.2+1)-1))))</f>
        <v>0</v>
      </c>
      <c r="O47" s="57"/>
    </row>
    <row r="48" spans="1:15" ht="29.25">
      <c r="A48" s="85" t="s">
        <v>175</v>
      </c>
      <c r="B48" s="85" t="s">
        <v>176</v>
      </c>
      <c r="C48" s="86" t="s">
        <v>174</v>
      </c>
      <c r="D48" s="87" t="s">
        <v>48</v>
      </c>
      <c r="E48" s="88" t="s">
        <v>68</v>
      </c>
      <c r="F48" s="89">
        <f>IF(E48="No aumenta",0,IF(E48="Pequeña",0,IF(E48="Moderada",0.1,IF(E48="Grande",0.4,IF(E48="Esencial",0.9,"-")))))</f>
        <v>0</v>
      </c>
      <c r="G48" s="89">
        <f>IF(E48="No aumenta",0,IF(E48="Pequeña",0.1,IF(E48="Moderada",0.4,IF(E48="Grande",0.9,IF(E48="Esencial",1,"-")))))</f>
        <v>0</v>
      </c>
      <c r="H48" s="89">
        <f>IF(F48="-","-",AVERAGE(F48:G48))</f>
        <v>0</v>
      </c>
      <c r="I48" s="90">
        <v>1847.6</v>
      </c>
      <c r="J48" s="91">
        <v>595</v>
      </c>
      <c r="K48" s="92">
        <f>IF(J48="-",0,I48*J48)</f>
        <v>1099322</v>
      </c>
      <c r="L48" s="93">
        <f>IF(H48="-","-",K48*H48)</f>
        <v>0</v>
      </c>
      <c r="M48" s="94">
        <f>IF($H48="-","-",(($K48/(-0.8+1)*((1/(1-$H48))^(-0.8+1)-1))))</f>
        <v>0</v>
      </c>
      <c r="N48" s="94">
        <f>IF($H48="-","-",(($K48/(-1.2+1)*((1/(1-$H48))^(-1.2+1)-1))))</f>
        <v>0</v>
      </c>
      <c r="O48" s="57"/>
    </row>
    <row r="49" spans="1:15" ht="29.25">
      <c r="A49" s="64" t="s">
        <v>177</v>
      </c>
      <c r="B49" s="64" t="s">
        <v>178</v>
      </c>
      <c r="C49" s="65" t="s">
        <v>179</v>
      </c>
      <c r="D49" s="66" t="s">
        <v>40</v>
      </c>
      <c r="E49" s="67" t="s">
        <v>35</v>
      </c>
      <c r="F49" s="68">
        <v>0.4</v>
      </c>
      <c r="G49" s="68">
        <v>0.9</v>
      </c>
      <c r="H49" s="68">
        <v>0.65</v>
      </c>
      <c r="I49" s="69">
        <v>471.3</v>
      </c>
      <c r="J49" s="70">
        <v>2586</v>
      </c>
      <c r="K49" s="71">
        <f>IF(J49="-",0,I49*J49)</f>
        <v>1218781.8</v>
      </c>
      <c r="L49" s="72">
        <f>IF(H49="-","-",K49*H49)</f>
        <v>792208.17</v>
      </c>
      <c r="M49" s="73">
        <f>IF($H49="-","-",(($K49/(-0.8+1)*((1/(1-$H49))^(-0.8+1)-1))))</f>
        <v>1423745.386607198</v>
      </c>
      <c r="N49" s="73">
        <f>IF($H49="-","-",(($K49/(-1.2+1)*((1/(1-$H49))^(-1.2+1)-1))))</f>
        <v>1154106.637385566</v>
      </c>
      <c r="O49" s="57"/>
    </row>
    <row r="50" spans="1:15" ht="42.75">
      <c r="A50" s="183" t="s">
        <v>180</v>
      </c>
      <c r="B50" s="183" t="s">
        <v>181</v>
      </c>
      <c r="C50" s="184" t="s">
        <v>182</v>
      </c>
      <c r="D50" s="101" t="s">
        <v>54</v>
      </c>
      <c r="E50" s="185" t="s">
        <v>62</v>
      </c>
      <c r="F50" s="186" t="s">
        <v>63</v>
      </c>
      <c r="G50" s="186" t="s">
        <v>63</v>
      </c>
      <c r="H50" s="186" t="s">
        <v>63</v>
      </c>
      <c r="I50" s="187">
        <v>212.7</v>
      </c>
      <c r="J50" s="188">
        <v>83912</v>
      </c>
      <c r="K50" s="189">
        <f>IF(J50="-",0,I50*J50)</f>
        <v>17848082.4</v>
      </c>
      <c r="L50" s="190" t="str">
        <f>IF(H50="-","-",K50*H50)</f>
        <v>-</v>
      </c>
      <c r="M50" s="191" t="str">
        <f>IF($H50="-","-",(($K50/(-0.8+1)*((1/(1-$H50))^(-0.8+1)-1))))</f>
        <v>-</v>
      </c>
      <c r="N50" s="191" t="str">
        <f>IF($H50="-","-",(($K50/(-1.2+1)*((1/(1-$H50))^(-1.2+1)-1))))</f>
        <v>-</v>
      </c>
      <c r="O50" s="57"/>
    </row>
    <row r="51" spans="1:15" ht="42.75">
      <c r="A51" s="85" t="s">
        <v>251</v>
      </c>
      <c r="B51" s="85" t="s">
        <v>184</v>
      </c>
      <c r="C51" s="86" t="s">
        <v>185</v>
      </c>
      <c r="D51" s="87" t="s">
        <v>48</v>
      </c>
      <c r="E51" s="88" t="s">
        <v>130</v>
      </c>
      <c r="F51" s="89">
        <f>IF(E51="No aumenta",0,IF(E51="Pequeña",0,IF(E51="Moderada",0.1,IF(E51="Grande",0.4,IF(E51="Esencial",0.9,"-")))))</f>
        <v>0.9</v>
      </c>
      <c r="G51" s="89">
        <f>IF(E51="No aumenta",0,IF(E51="Pequeña",0.1,IF(E51="Moderada",0.4,IF(E51="Grande",0.9,IF(E51="Esencial",1,"-")))))</f>
        <v>1</v>
      </c>
      <c r="H51" s="89">
        <f>IF(F51="-","-",AVERAGE(F51:G51))</f>
        <v>0.95</v>
      </c>
      <c r="I51" s="90">
        <v>333.5</v>
      </c>
      <c r="J51" s="91">
        <f>17280+17982</f>
        <v>35262</v>
      </c>
      <c r="K51" s="92">
        <f>IF(J51="-",0,I51*J51)</f>
        <v>11759877</v>
      </c>
      <c r="L51" s="93">
        <f>IF(H51="-","-",K51*H51)</f>
        <v>11171883.15</v>
      </c>
      <c r="M51" s="94">
        <f>IF($H51="-","-",(($K51/(-0.8+1)*((1/(1-$H51))^(-0.8+1)-1))))</f>
        <v>48248670.49094864</v>
      </c>
      <c r="N51" s="94">
        <f>IF($H51="-","-",(($K51/(-1.2+1)*((1/(1-$H51))^(-1.2+1)-1))))</f>
        <v>26502042.8341672</v>
      </c>
      <c r="O51" s="57"/>
    </row>
    <row r="52" spans="1:15" ht="16.5">
      <c r="A52" s="64" t="s">
        <v>186</v>
      </c>
      <c r="B52" s="64" t="s">
        <v>187</v>
      </c>
      <c r="C52" s="192" t="s">
        <v>188</v>
      </c>
      <c r="D52" s="66" t="s">
        <v>40</v>
      </c>
      <c r="E52" s="67" t="s">
        <v>35</v>
      </c>
      <c r="F52" s="68">
        <v>0.4</v>
      </c>
      <c r="G52" s="68">
        <v>0.9</v>
      </c>
      <c r="H52" s="68">
        <v>0.65</v>
      </c>
      <c r="I52" s="69">
        <v>316.1</v>
      </c>
      <c r="J52" s="70">
        <v>33</v>
      </c>
      <c r="K52" s="71">
        <f>IF(J52="-",0,I52*J52)</f>
        <v>10431.300000000001</v>
      </c>
      <c r="L52" s="72">
        <f>IF(H52="-","-",K52*H52)</f>
        <v>6780.345000000001</v>
      </c>
      <c r="M52" s="73">
        <f>IF($H52="-","-",(($K52/(-0.8+1)*((1/(1-$H52))^(-0.8+1)-1))))</f>
        <v>12185.540718868353</v>
      </c>
      <c r="N52" s="73">
        <f>IF($H52="-","-",(($K52/(-1.2+1)*((1/(1-$H52))^(-1.2+1)-1))))</f>
        <v>9877.758731349659</v>
      </c>
      <c r="O52" s="57"/>
    </row>
    <row r="53" spans="1:15" ht="16.5">
      <c r="A53" s="119" t="s">
        <v>198</v>
      </c>
      <c r="B53" s="119" t="s">
        <v>199</v>
      </c>
      <c r="C53" s="120" t="s">
        <v>200</v>
      </c>
      <c r="D53" s="121" t="s">
        <v>36</v>
      </c>
      <c r="E53" s="122" t="s">
        <v>68</v>
      </c>
      <c r="F53" s="123">
        <f>IF(E53="No aumenta",0,IF(E53="Pequeña",0,IF(E53="Moderada",0.1,IF(E53="Grande",0.4,IF(E53="Esencial",0.9,"-")))))</f>
        <v>0</v>
      </c>
      <c r="G53" s="123">
        <f>IF(E53="No aumenta",0,IF(E53="Pequeña",0.1,IF(E53="Moderada",0.4,IF(E53="Grande",0.9,IF(E53="Esencial",1,"-")))))</f>
        <v>0</v>
      </c>
      <c r="H53" s="123">
        <f>IF(F53="-","-",AVERAGE(F53:G53))</f>
        <v>0</v>
      </c>
      <c r="I53" s="124">
        <v>183.6</v>
      </c>
      <c r="J53" s="125">
        <v>83</v>
      </c>
      <c r="K53" s="126">
        <f>IF(J53="-",0,I53*J53)</f>
        <v>15238.8</v>
      </c>
      <c r="L53" s="127">
        <f>IF(H53="-","-",K53*H53)</f>
        <v>0</v>
      </c>
      <c r="M53" s="128">
        <f>IF($H53="-","-",(($K53/(-0.8+1)*((1/(1-$H53))^(-0.8+1)-1))))</f>
        <v>0</v>
      </c>
      <c r="N53" s="128">
        <f>IF($H53="-","-",(($K53/(-1.2+1)*((1/(1-$H53))^(-1.2+1)-1))))</f>
        <v>0</v>
      </c>
      <c r="O53" s="57"/>
    </row>
    <row r="54" spans="1:15" ht="16.5">
      <c r="A54" s="119" t="s">
        <v>207</v>
      </c>
      <c r="B54" s="119" t="s">
        <v>208</v>
      </c>
      <c r="C54" s="120" t="s">
        <v>209</v>
      </c>
      <c r="D54" s="121" t="s">
        <v>36</v>
      </c>
      <c r="E54" s="122" t="s">
        <v>68</v>
      </c>
      <c r="F54" s="123">
        <v>0</v>
      </c>
      <c r="G54" s="123">
        <v>0</v>
      </c>
      <c r="H54" s="123">
        <v>0</v>
      </c>
      <c r="I54" s="124">
        <v>200</v>
      </c>
      <c r="J54" s="125">
        <v>130</v>
      </c>
      <c r="K54" s="126">
        <f>IF(J54="-",0,I54*J54)</f>
        <v>26000</v>
      </c>
      <c r="L54" s="127">
        <f>IF(H54="-","-",K54*H54)</f>
        <v>0</v>
      </c>
      <c r="M54" s="128">
        <f>IF($H54="-","-",(($K54/(-0.8+1)*((1/(1-$H54))^(-0.8+1)-1))))</f>
        <v>0</v>
      </c>
      <c r="N54" s="128">
        <f>IF($H54="-","-",(($K54/(-1.2+1)*((1/(1-$H54))^(-1.2+1)-1))))</f>
        <v>0</v>
      </c>
      <c r="O54" s="57"/>
    </row>
    <row r="55" spans="1:15" ht="16.5">
      <c r="A55" s="85" t="s">
        <v>213</v>
      </c>
      <c r="B55" s="85" t="s">
        <v>214</v>
      </c>
      <c r="C55" s="86" t="s">
        <v>215</v>
      </c>
      <c r="D55" s="87" t="s">
        <v>48</v>
      </c>
      <c r="E55" s="88" t="s">
        <v>68</v>
      </c>
      <c r="F55" s="89">
        <v>0</v>
      </c>
      <c r="G55" s="89">
        <v>0</v>
      </c>
      <c r="H55" s="89">
        <v>0</v>
      </c>
      <c r="I55" s="90">
        <v>508.7</v>
      </c>
      <c r="J55" s="91">
        <v>1151</v>
      </c>
      <c r="K55" s="92">
        <f>IF(J55="-",0,I55*J55)</f>
        <v>585513.7</v>
      </c>
      <c r="L55" s="93">
        <f>IF(H55="-","-",K55*H55)</f>
        <v>0</v>
      </c>
      <c r="M55" s="94">
        <f>IF($H55="-","-",(($K55/(-0.8+1)*((1/(1-$H55))^(-0.8+1)-1))))</f>
        <v>0</v>
      </c>
      <c r="N55" s="94">
        <f>IF($H55="-","-",(($K55/(-1.2+1)*((1/(1-$H55))^(-1.2+1)-1))))</f>
        <v>0</v>
      </c>
      <c r="O55" s="57"/>
    </row>
    <row r="56" spans="1:15" ht="16.5">
      <c r="A56" s="64" t="s">
        <v>216</v>
      </c>
      <c r="B56" s="64" t="s">
        <v>217</v>
      </c>
      <c r="C56" s="65" t="s">
        <v>218</v>
      </c>
      <c r="D56" s="66" t="s">
        <v>40</v>
      </c>
      <c r="E56" s="67" t="s">
        <v>79</v>
      </c>
      <c r="F56" s="68">
        <f>IF(E56="No aumenta",0,IF(E56="Pequeña",0,IF(E56="Moderada",0.1,IF(E56="Grande",0.4,IF(E56="Esencial",0.9,"-")))))</f>
        <v>0.1</v>
      </c>
      <c r="G56" s="68">
        <f>IF(E56="No aumenta",0,IF(E56="Pequeña",0.1,IF(E56="Moderada",0.4,IF(E56="Grande",0.9,IF(E56="Esencial",1,"-")))))</f>
        <v>0.4</v>
      </c>
      <c r="H56" s="68">
        <f>IF(F56="-","-",AVERAGE(F56:G56))</f>
        <v>0.25</v>
      </c>
      <c r="I56" s="69">
        <v>1310.8</v>
      </c>
      <c r="J56" s="70">
        <v>1478</v>
      </c>
      <c r="K56" s="71">
        <f>IF(J56="-",0,I56*J56)</f>
        <v>1937362.4</v>
      </c>
      <c r="L56" s="72">
        <f>IF(H56="-","-",K56*H56)</f>
        <v>484340.6</v>
      </c>
      <c r="M56" s="73">
        <f>IF($H56="-","-",(($K56/(-0.8+1)*((1/(1-$H56))^(-0.8+1)-1))))</f>
        <v>573690.2141577265</v>
      </c>
      <c r="N56" s="73">
        <f>IF($H56="-","-",(($K56/(-1.2+1)*((1/(1-$H56))^(-1.2+1)-1))))</f>
        <v>541613.766538408</v>
      </c>
      <c r="O56" s="57"/>
    </row>
    <row r="57" spans="1:15" ht="42.75">
      <c r="A57" s="183" t="s">
        <v>225</v>
      </c>
      <c r="B57" s="183" t="s">
        <v>226</v>
      </c>
      <c r="C57" s="184" t="s">
        <v>227</v>
      </c>
      <c r="D57" s="101" t="s">
        <v>54</v>
      </c>
      <c r="E57" s="185" t="s">
        <v>62</v>
      </c>
      <c r="F57" s="186" t="s">
        <v>63</v>
      </c>
      <c r="G57" s="186" t="s">
        <v>63</v>
      </c>
      <c r="H57" s="186" t="s">
        <v>63</v>
      </c>
      <c r="I57" s="187">
        <v>491.4</v>
      </c>
      <c r="J57" s="188">
        <v>4613</v>
      </c>
      <c r="K57" s="189">
        <f>IF(J57="-",0,I57*J57)</f>
        <v>2266828.1999999997</v>
      </c>
      <c r="L57" s="190" t="str">
        <f>IF(H57="-","-",K57*H57)</f>
        <v>-</v>
      </c>
      <c r="M57" s="191" t="str">
        <f>IF($H57="-","-",(($K57/(-0.8+1)*((1/(1-$H57))^(-0.8+1)-1))))</f>
        <v>-</v>
      </c>
      <c r="N57" s="191" t="str">
        <f>IF($H57="-","-",(($K57/(-1.2+1)*((1/(1-$H57))^(-1.2+1)-1))))</f>
        <v>-</v>
      </c>
      <c r="O57" s="57"/>
    </row>
    <row r="58" spans="1:15" ht="96">
      <c r="A58" s="64" t="s">
        <v>228</v>
      </c>
      <c r="B58" s="64" t="s">
        <v>229</v>
      </c>
      <c r="C58" s="65" t="s">
        <v>230</v>
      </c>
      <c r="D58" s="66" t="s">
        <v>40</v>
      </c>
      <c r="E58" s="67" t="s">
        <v>72</v>
      </c>
      <c r="F58" s="68">
        <v>0</v>
      </c>
      <c r="G58" s="68">
        <v>0.1</v>
      </c>
      <c r="H58" s="68">
        <v>0.05</v>
      </c>
      <c r="I58" s="69">
        <v>240.6</v>
      </c>
      <c r="J58" s="70">
        <f>300+213+287</f>
        <v>800</v>
      </c>
      <c r="K58" s="71">
        <f>IF(J58="-",0,I58*J58)</f>
        <v>192480</v>
      </c>
      <c r="L58" s="72">
        <f>IF(H58="-","-",K58*H58)</f>
        <v>9624</v>
      </c>
      <c r="M58" s="73">
        <f>IF($H58="-","-",(($K58/(-0.8+1)*((1/(1-$H58))^(-0.8+1)-1))))</f>
        <v>9923.748447581695</v>
      </c>
      <c r="N58" s="73">
        <f>IF($H58="-","-",(($K58/(-1.2+1)*((1/(1-$H58))^(-1.2+1)-1))))</f>
        <v>9822.464504442265</v>
      </c>
      <c r="O58" s="57"/>
    </row>
    <row r="59" spans="1:15" ht="16.5">
      <c r="A59" s="85" t="s">
        <v>231</v>
      </c>
      <c r="B59" s="85" t="s">
        <v>232</v>
      </c>
      <c r="C59" s="86" t="s">
        <v>233</v>
      </c>
      <c r="D59" s="87" t="s">
        <v>48</v>
      </c>
      <c r="E59" s="88" t="s">
        <v>72</v>
      </c>
      <c r="F59" s="89">
        <v>0</v>
      </c>
      <c r="G59" s="89">
        <v>0.1</v>
      </c>
      <c r="H59" s="89">
        <v>0.05</v>
      </c>
      <c r="I59" s="90">
        <v>440.6</v>
      </c>
      <c r="J59" s="91">
        <v>133321</v>
      </c>
      <c r="K59" s="92">
        <f>IF(J59="-",0,I59*J59)</f>
        <v>58741232.6</v>
      </c>
      <c r="L59" s="93">
        <f>IF(H59="-","-",K59*H59)</f>
        <v>2937061.6300000004</v>
      </c>
      <c r="M59" s="94">
        <f>IF($H59="-","-",(($K59/(-0.8+1)*((1/(1-$H59))^(-0.8+1)-1))))</f>
        <v>3028539.1512016063</v>
      </c>
      <c r="N59" s="94">
        <f>IF($H59="-","-",(($K59/(-1.2+1)*((1/(1-$H59))^(-1.2+1)-1))))</f>
        <v>2997629.2194549395</v>
      </c>
      <c r="O59" s="57"/>
    </row>
    <row r="60" spans="1:15" ht="29.25">
      <c r="A60" s="47" t="s">
        <v>234</v>
      </c>
      <c r="B60" s="47" t="s">
        <v>235</v>
      </c>
      <c r="C60" s="48" t="s">
        <v>236</v>
      </c>
      <c r="D60" s="49" t="s">
        <v>34</v>
      </c>
      <c r="E60" s="50" t="s">
        <v>68</v>
      </c>
      <c r="F60" s="51" t="s">
        <v>63</v>
      </c>
      <c r="G60" s="51" t="s">
        <v>63</v>
      </c>
      <c r="H60" s="51" t="s">
        <v>63</v>
      </c>
      <c r="I60" s="157">
        <v>2087.7</v>
      </c>
      <c r="J60" s="158">
        <v>26</v>
      </c>
      <c r="K60" s="54">
        <f>IF(J60="-",0,I60*J60)</f>
        <v>54280.2</v>
      </c>
      <c r="L60" s="55" t="str">
        <f>IF(H60="-","-",K60*H60)</f>
        <v>-</v>
      </c>
      <c r="M60" s="56" t="str">
        <f>IF($H60="-","-",(($K60/(-0.8+1)*((1/(1-$H60))^(-0.8+1)-1))))</f>
        <v>-</v>
      </c>
      <c r="N60" s="56" t="str">
        <f>IF($H60="-","-",(($K60/(-1.2+1)*((1/(1-$H60))^(-1.2+1)-1))))</f>
        <v>-</v>
      </c>
      <c r="O60" s="57"/>
    </row>
    <row r="61" spans="1:15" ht="16.5">
      <c r="A61" s="85" t="s">
        <v>237</v>
      </c>
      <c r="B61" s="85" t="s">
        <v>238</v>
      </c>
      <c r="C61" s="86" t="s">
        <v>239</v>
      </c>
      <c r="D61" s="87" t="s">
        <v>48</v>
      </c>
      <c r="E61" s="88" t="s">
        <v>130</v>
      </c>
      <c r="F61" s="89">
        <v>0.9</v>
      </c>
      <c r="G61" s="89">
        <v>1</v>
      </c>
      <c r="H61" s="89">
        <v>0.95</v>
      </c>
      <c r="I61" s="90">
        <v>243.3</v>
      </c>
      <c r="J61" s="91">
        <v>5253</v>
      </c>
      <c r="K61" s="92">
        <f>IF(J61="-",0,I61*J61)</f>
        <v>1278054.9000000001</v>
      </c>
      <c r="L61" s="93">
        <f>IF(H61="-","-",K61*H61)</f>
        <v>1214152.155</v>
      </c>
      <c r="M61" s="94">
        <f>IF($H61="-","-",(($K61/(-0.8+1)*((1/(1-$H61))^(-0.8+1)-1))))</f>
        <v>5243630.502210382</v>
      </c>
      <c r="N61" s="94">
        <f>IF($H61="-","-",(($K61/(-1.2+1)*((1/(1-$H61))^(-1.2+1)-1))))</f>
        <v>2880222.7867023847</v>
      </c>
      <c r="O61" s="57"/>
    </row>
    <row r="62" spans="1:15" ht="29.25">
      <c r="A62" s="119" t="s">
        <v>240</v>
      </c>
      <c r="B62" s="119" t="s">
        <v>241</v>
      </c>
      <c r="C62" s="120" t="s">
        <v>242</v>
      </c>
      <c r="D62" s="121" t="s">
        <v>36</v>
      </c>
      <c r="E62" s="122" t="s">
        <v>68</v>
      </c>
      <c r="F62" s="123">
        <v>0</v>
      </c>
      <c r="G62" s="123">
        <v>0</v>
      </c>
      <c r="H62" s="123">
        <v>0</v>
      </c>
      <c r="I62" s="124">
        <v>230.1</v>
      </c>
      <c r="J62" s="125">
        <v>162</v>
      </c>
      <c r="K62" s="126">
        <f>IF(J62="-",0,I62*J62)</f>
        <v>37276.2</v>
      </c>
      <c r="L62" s="127">
        <f>IF(H62="-","-",K62*H62)</f>
        <v>0</v>
      </c>
      <c r="M62" s="128">
        <f>IF($H62="-","-",(($K62/(-0.8+1)*((1/(1-$H62))^(-0.8+1)-1))))</f>
        <v>0</v>
      </c>
      <c r="N62" s="128">
        <f>IF($H62="-","-",(($K62/(-1.2+1)*((1/(1-$H62))^(-1.2+1)-1))))</f>
        <v>0</v>
      </c>
      <c r="O62" s="57"/>
    </row>
    <row r="63" spans="1:14" ht="16.5">
      <c r="A63" s="2"/>
      <c r="I63" s="205"/>
      <c r="J63" s="206"/>
      <c r="K63" s="207"/>
      <c r="L63" s="208"/>
      <c r="M63" s="209"/>
      <c r="N63" s="209"/>
    </row>
    <row r="64" spans="1:14" ht="30" customHeight="1">
      <c r="A64" s="210" t="s">
        <v>243</v>
      </c>
      <c r="B64" s="210" t="s">
        <v>248</v>
      </c>
      <c r="C64" s="210"/>
      <c r="D64" s="210"/>
      <c r="E64" s="210"/>
      <c r="F64" s="211">
        <f>AVERAGE(F9:F62)</f>
        <v>0.19047619047619052</v>
      </c>
      <c r="G64" s="211">
        <f>AVERAGE(G9:G62)</f>
        <v>0.3666666666666667</v>
      </c>
      <c r="H64" s="211">
        <f>AVERAGE(H9:H62)</f>
        <v>0.2785714285714286</v>
      </c>
      <c r="I64" s="212">
        <f>AVERAGE(I9:I62)</f>
        <v>624.2407407407408</v>
      </c>
      <c r="J64" s="213">
        <f>AVERAGE(J9:J62)</f>
        <v>14093.407407407407</v>
      </c>
      <c r="K64" s="214">
        <f>SUM(K9:K62)</f>
        <v>366464598.79999983</v>
      </c>
      <c r="L64" s="215">
        <f>SUM(L9:L62)</f>
        <v>35617549.57500001</v>
      </c>
      <c r="M64" s="216">
        <f>SUM(M9:M62)</f>
        <v>94081360.38535173</v>
      </c>
      <c r="N64" s="216">
        <f>SUM(N9:N62)</f>
        <v>62078736.58907409</v>
      </c>
    </row>
  </sheetData>
  <sheetProtection selectLockedCells="1" selectUnlockedCells="1"/>
  <mergeCells count="10">
    <mergeCell ref="A2:N2"/>
    <mergeCell ref="A3:N3"/>
    <mergeCell ref="P3:V3"/>
    <mergeCell ref="F4:H4"/>
    <mergeCell ref="I4:N4"/>
    <mergeCell ref="M5:N5"/>
    <mergeCell ref="U5:V5"/>
    <mergeCell ref="B6:D6"/>
    <mergeCell ref="E6:H6"/>
    <mergeCell ref="A64:E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51"/>
  <sheetViews>
    <sheetView zoomScale="90" zoomScaleNormal="90" workbookViewId="0" topLeftCell="A10">
      <selection activeCell="E27" activeCellId="1" sqref="A9:A63 E27"/>
    </sheetView>
  </sheetViews>
  <sheetFormatPr defaultColWidth="11.00390625" defaultRowHeight="12.75"/>
  <cols>
    <col min="1" max="1" width="10.75390625" style="1" customWidth="1"/>
    <col min="2" max="2" width="14.00390625" style="2" customWidth="1"/>
    <col min="3" max="3" width="40.75390625" style="3" customWidth="1"/>
    <col min="4" max="4" width="12.75390625" style="1" customWidth="1"/>
    <col min="5" max="5" width="11.75390625" style="4" customWidth="1"/>
    <col min="6" max="8" width="10.75390625" style="4" customWidth="1"/>
    <col min="9" max="9" width="14.625" style="1" customWidth="1"/>
    <col min="10" max="10" width="14.00390625" style="1" customWidth="1"/>
    <col min="11" max="11" width="16.875" style="5" customWidth="1"/>
    <col min="12" max="12" width="15.75390625" style="6" customWidth="1"/>
    <col min="13" max="14" width="15.75390625" style="7" customWidth="1"/>
    <col min="15" max="15" width="10.75390625" style="1" customWidth="1"/>
    <col min="16" max="16" width="12.375" style="1" customWidth="1"/>
    <col min="17" max="17" width="14.125" style="1" customWidth="1"/>
    <col min="18" max="18" width="24.75390625" style="1" customWidth="1"/>
    <col min="19" max="19" width="21.25390625" style="1" customWidth="1"/>
    <col min="20" max="20" width="14.125" style="1" customWidth="1"/>
    <col min="21" max="22" width="18.75390625" style="1" customWidth="1"/>
    <col min="23" max="245" width="10.75390625" style="1" customWidth="1"/>
    <col min="246" max="16384" width="10.75390625" style="0" customWidth="1"/>
  </cols>
  <sheetData>
    <row r="1" spans="2:14" s="8" customFormat="1" ht="12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36.75" customHeight="1">
      <c r="A2" s="9" t="s">
        <v>244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2" s="11" customFormat="1" ht="60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12" t="s">
        <v>2</v>
      </c>
      <c r="Q3" s="12"/>
      <c r="R3" s="12"/>
      <c r="S3" s="12"/>
      <c r="T3" s="12"/>
      <c r="U3" s="12"/>
      <c r="V3" s="12"/>
    </row>
    <row r="4" spans="6:246" ht="61.5" customHeight="1">
      <c r="F4" s="13" t="s">
        <v>3</v>
      </c>
      <c r="G4" s="13"/>
      <c r="H4" s="13"/>
      <c r="I4" s="14" t="s">
        <v>4</v>
      </c>
      <c r="J4" s="14"/>
      <c r="K4" s="14"/>
      <c r="L4" s="14"/>
      <c r="M4" s="14"/>
      <c r="N4" s="14"/>
      <c r="IL4" s="1"/>
    </row>
    <row r="5" spans="1:246" ht="78.75" customHeight="1">
      <c r="A5" s="15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8" t="s">
        <v>11</v>
      </c>
      <c r="H5" s="17" t="s">
        <v>12</v>
      </c>
      <c r="I5" s="19" t="s">
        <v>13</v>
      </c>
      <c r="J5" s="19" t="s">
        <v>14</v>
      </c>
      <c r="K5" s="20" t="s">
        <v>15</v>
      </c>
      <c r="L5" s="21" t="s">
        <v>16</v>
      </c>
      <c r="M5" s="22" t="s">
        <v>17</v>
      </c>
      <c r="N5" s="22"/>
      <c r="P5" s="16" t="s">
        <v>8</v>
      </c>
      <c r="Q5" s="23" t="s">
        <v>18</v>
      </c>
      <c r="R5" s="20" t="s">
        <v>15</v>
      </c>
      <c r="S5" s="21" t="s">
        <v>16</v>
      </c>
      <c r="T5" s="24" t="s">
        <v>19</v>
      </c>
      <c r="U5" s="22" t="s">
        <v>17</v>
      </c>
      <c r="V5" s="22"/>
      <c r="IL5" s="1"/>
    </row>
    <row r="6" spans="1:246" ht="47.25" customHeight="1">
      <c r="A6" s="25"/>
      <c r="B6" s="26" t="s">
        <v>20</v>
      </c>
      <c r="C6" s="26"/>
      <c r="D6" s="26"/>
      <c r="E6" s="27" t="s">
        <v>21</v>
      </c>
      <c r="F6" s="27"/>
      <c r="G6" s="27"/>
      <c r="H6" s="27"/>
      <c r="I6" s="28" t="s">
        <v>20</v>
      </c>
      <c r="J6" s="28" t="s">
        <v>22</v>
      </c>
      <c r="K6" s="29" t="s">
        <v>23</v>
      </c>
      <c r="L6" s="30" t="s">
        <v>24</v>
      </c>
      <c r="M6" s="31">
        <v>-0.8</v>
      </c>
      <c r="N6" s="31">
        <v>-1.2</v>
      </c>
      <c r="P6" s="32"/>
      <c r="Q6" s="33" t="s">
        <v>25</v>
      </c>
      <c r="R6" s="29" t="s">
        <v>23</v>
      </c>
      <c r="S6" s="30" t="s">
        <v>26</v>
      </c>
      <c r="T6" s="34" t="s">
        <v>27</v>
      </c>
      <c r="U6" s="31">
        <v>-0.8</v>
      </c>
      <c r="V6" s="31">
        <v>-1.2</v>
      </c>
      <c r="IL6" s="1"/>
    </row>
    <row r="7" spans="2:246" ht="27.75" customHeight="1">
      <c r="B7" s="35"/>
      <c r="C7" s="36"/>
      <c r="D7" s="37"/>
      <c r="E7" s="38"/>
      <c r="F7" s="39"/>
      <c r="G7" s="39"/>
      <c r="H7" s="39"/>
      <c r="I7" s="19" t="s">
        <v>28</v>
      </c>
      <c r="J7" s="19" t="s">
        <v>29</v>
      </c>
      <c r="K7" s="40" t="s">
        <v>30</v>
      </c>
      <c r="L7" s="41" t="s">
        <v>30</v>
      </c>
      <c r="M7" s="42" t="s">
        <v>30</v>
      </c>
      <c r="N7" s="42" t="s">
        <v>30</v>
      </c>
      <c r="P7" s="43"/>
      <c r="Q7" s="19"/>
      <c r="R7" s="40"/>
      <c r="S7" s="41"/>
      <c r="T7" s="44"/>
      <c r="U7" s="42"/>
      <c r="V7" s="42"/>
      <c r="IL7" s="1"/>
    </row>
    <row r="8" spans="2:246" ht="16.5">
      <c r="B8" s="35"/>
      <c r="C8" s="36"/>
      <c r="D8" s="37"/>
      <c r="E8" s="38"/>
      <c r="F8" s="39"/>
      <c r="G8" s="39"/>
      <c r="H8" s="39"/>
      <c r="I8" s="19"/>
      <c r="J8" s="19"/>
      <c r="K8" s="40"/>
      <c r="L8" s="41"/>
      <c r="M8" s="42"/>
      <c r="N8" s="42"/>
      <c r="P8" s="43"/>
      <c r="Q8" s="43"/>
      <c r="R8" s="40"/>
      <c r="S8" s="45"/>
      <c r="T8" s="44"/>
      <c r="U8" s="46"/>
      <c r="V8" s="46"/>
      <c r="IL8" s="1"/>
    </row>
    <row r="9" spans="1:22" ht="16.5">
      <c r="A9" s="64" t="s">
        <v>37</v>
      </c>
      <c r="B9" s="64" t="s">
        <v>38</v>
      </c>
      <c r="C9" s="65" t="s">
        <v>39</v>
      </c>
      <c r="D9" s="66" t="s">
        <v>40</v>
      </c>
      <c r="E9" s="67" t="s">
        <v>35</v>
      </c>
      <c r="F9" s="68">
        <v>0.4</v>
      </c>
      <c r="G9" s="68">
        <v>0.9</v>
      </c>
      <c r="H9" s="68">
        <v>0.65</v>
      </c>
      <c r="I9" s="69">
        <v>342.2</v>
      </c>
      <c r="J9" s="70">
        <v>137795</v>
      </c>
      <c r="K9" s="71">
        <f>IF(J9="-",0,I9*J9)</f>
        <v>47153449</v>
      </c>
      <c r="L9" s="72">
        <f>IF(H9="-","-",K9*H9)</f>
        <v>30649741.85</v>
      </c>
      <c r="M9" s="73">
        <f>IF($H9="-","-",(($K9/(-0.8+1)*((1/(1-$H9))^(-0.8+1)-1))))</f>
        <v>55083285.192122</v>
      </c>
      <c r="N9" s="73">
        <f>IF($H9="-","-",(($K9/(-1.2+1)*((1/(1-$H9))^(-1.2+1)-1))))</f>
        <v>44651231.6368047</v>
      </c>
      <c r="O9" s="57"/>
      <c r="P9" s="58" t="s">
        <v>36</v>
      </c>
      <c r="Q9" s="59">
        <f>SUMIF($D$9:$D$49,$P9,$K$9:$K$49)/SUMIF($D$9:$D$49,$P9,$J$9:$J$49)</f>
        <v>218.5633125727718</v>
      </c>
      <c r="R9" s="217">
        <f>SUMIF($D$9:$D$49,$P9,$K$9:$K$49)</f>
        <v>39795133.699999996</v>
      </c>
      <c r="S9" s="218">
        <f>SUMIF($D$9:$D$49,$P9,$L$9:$L$49)</f>
        <v>0</v>
      </c>
      <c r="T9" s="62">
        <f>IF(R9=0,"-",S9/R9)</f>
        <v>0</v>
      </c>
      <c r="U9" s="219">
        <f>SUMIF($D$9:$D$49,$P9,$M$9:$M$49)</f>
        <v>0</v>
      </c>
      <c r="V9" s="219">
        <f>SUMIF($D$9:$D$49,$P9,$N$9:$N$49)</f>
        <v>0</v>
      </c>
    </row>
    <row r="10" spans="1:22" ht="29.25">
      <c r="A10" s="64" t="s">
        <v>41</v>
      </c>
      <c r="B10" s="64" t="s">
        <v>42</v>
      </c>
      <c r="C10" s="65" t="s">
        <v>43</v>
      </c>
      <c r="D10" s="66" t="s">
        <v>40</v>
      </c>
      <c r="E10" s="67" t="s">
        <v>35</v>
      </c>
      <c r="F10" s="68">
        <v>0.4</v>
      </c>
      <c r="G10" s="68">
        <v>0.9</v>
      </c>
      <c r="H10" s="68">
        <v>0.65</v>
      </c>
      <c r="I10" s="69">
        <v>745.8</v>
      </c>
      <c r="J10" s="70">
        <v>949</v>
      </c>
      <c r="K10" s="71">
        <f>IF(J10="-",0,I10*J10)</f>
        <v>707764.2</v>
      </c>
      <c r="L10" s="72">
        <f>IF(H10="-","-",K10*H10)</f>
        <v>460046.73</v>
      </c>
      <c r="M10" s="73">
        <f>IF($H10="-","-",(($K10/(-0.8+1)*((1/(1-$H10))^(-0.8+1)-1))))</f>
        <v>826789.5160197945</v>
      </c>
      <c r="N10" s="73">
        <f>IF($H10="-","-",(($K10/(-1.2+1)*((1/(1-$H10))^(-1.2+1)-1))))</f>
        <v>670206.3986546936</v>
      </c>
      <c r="O10" s="57"/>
      <c r="P10" s="66" t="s">
        <v>40</v>
      </c>
      <c r="Q10" s="74">
        <f>SUMIF($D$9:$D$49,$P10,$K$9:$K$49)/SUMIF($D$9:$D$49,$P10,$J$9:$J$49)</f>
        <v>524.0214071436678</v>
      </c>
      <c r="R10" s="220">
        <f>SUMIF($D$9:$D$49,$P10,$K$9:$K$49)</f>
        <v>226211133.09999996</v>
      </c>
      <c r="S10" s="221">
        <f>SUMIF($D$9:$D$49,$P10,$L$9:$L$49)</f>
        <v>61424519.935</v>
      </c>
      <c r="T10" s="77">
        <f>IF(R10=0,"-",S10/R10)</f>
        <v>0.2715362373780533</v>
      </c>
      <c r="U10" s="222">
        <f>SUMIF($D$9:$D$49,$P10,$M$9:$M$49)</f>
        <v>140910419.28163272</v>
      </c>
      <c r="V10" s="222">
        <f>SUMIF($D$9:$D$49,$P10,$N$9:$N$49)</f>
        <v>100315077.53331846</v>
      </c>
    </row>
    <row r="11" spans="1:22" ht="42.75">
      <c r="A11" s="85" t="s">
        <v>245</v>
      </c>
      <c r="B11" s="85" t="s">
        <v>52</v>
      </c>
      <c r="C11" s="86" t="s">
        <v>53</v>
      </c>
      <c r="D11" s="87" t="s">
        <v>48</v>
      </c>
      <c r="E11" s="88" t="s">
        <v>49</v>
      </c>
      <c r="F11" s="89" t="str">
        <f>IF(E11="No aumenta",0,IF(E11="Pequeña",0,IF(E11="Moderada",0.1,IF(E11="Grande",0.4,IF(E11="Esencial",0.9,"-")))))</f>
        <v>-</v>
      </c>
      <c r="G11" s="89" t="str">
        <f>IF(E11="No aumenta",0,IF(E11="Pequeña",0.1,IF(E11="Moderada",0.4,IF(E11="Grande",0.9,IF(E11="Esencial",1,"-")))))</f>
        <v>-</v>
      </c>
      <c r="H11" s="89" t="str">
        <f>IF(F11="-","-",AVERAGE(F11:G11))</f>
        <v>-</v>
      </c>
      <c r="I11" s="90">
        <v>1257.3</v>
      </c>
      <c r="J11" s="91">
        <v>11</v>
      </c>
      <c r="K11" s="92">
        <f>IF(J11="-",0,I11*J11)</f>
        <v>13830.3</v>
      </c>
      <c r="L11" s="93" t="str">
        <f>IF(H11="-","-",K11*H11)</f>
        <v>-</v>
      </c>
      <c r="M11" s="94" t="str">
        <f>IF($H11="-","-",(($K11/(-0.8+1)*((1/(1-$H11))^(-0.8+1)-1))))</f>
        <v>-</v>
      </c>
      <c r="N11" s="94" t="str">
        <f>IF($H11="-","-",(($K11/(-1.2+1)*((1/(1-$H11))^(-1.2+1)-1))))</f>
        <v>-</v>
      </c>
      <c r="O11" s="57"/>
      <c r="P11" s="79" t="s">
        <v>44</v>
      </c>
      <c r="Q11" s="80">
        <f>SUMIF($D$9:$D$49,$P11,$K$9:$K$49)/SUMIF($D$9:$D$49,$P11,$J$9:$J$49)</f>
        <v>396.6</v>
      </c>
      <c r="R11" s="223">
        <f>SUMIF($D$9:$D$49,$P11,$K$9:$K$49)</f>
        <v>530650.8</v>
      </c>
      <c r="S11" s="224">
        <f>SUMIF($D$9:$D$49,$P11,$L$9:$L$49)</f>
        <v>0</v>
      </c>
      <c r="T11" s="83">
        <f>IF(R11=0,"-",S11/R11)</f>
        <v>0</v>
      </c>
      <c r="U11" s="225">
        <f>SUMIF($D$9:$D$49,$P11,$M$9:$M$49)</f>
        <v>0</v>
      </c>
      <c r="V11" s="225">
        <f>SUMIF($D$9:$D$49,$P11,$N$9:$N$49)</f>
        <v>0</v>
      </c>
    </row>
    <row r="12" spans="1:22" ht="16.5">
      <c r="A12" s="119" t="s">
        <v>65</v>
      </c>
      <c r="B12" s="119" t="s">
        <v>66</v>
      </c>
      <c r="C12" s="120" t="s">
        <v>67</v>
      </c>
      <c r="D12" s="121" t="s">
        <v>36</v>
      </c>
      <c r="E12" s="122" t="s">
        <v>68</v>
      </c>
      <c r="F12" s="123">
        <v>0</v>
      </c>
      <c r="G12" s="123">
        <v>0</v>
      </c>
      <c r="H12" s="123">
        <v>0</v>
      </c>
      <c r="I12" s="124">
        <v>194.8</v>
      </c>
      <c r="J12" s="125">
        <v>467</v>
      </c>
      <c r="K12" s="126">
        <f>IF(J12="-",0,I12*J12)</f>
        <v>90971.6</v>
      </c>
      <c r="L12" s="127">
        <f>IF(H12="-","-",K12*H12)</f>
        <v>0</v>
      </c>
      <c r="M12" s="128">
        <f>IF($H12="-","-",(($K12/(-0.8+1)*((1/(1-$H12))^(-0.8+1)-1))))</f>
        <v>0</v>
      </c>
      <c r="N12" s="128">
        <f>IF($H12="-","-",(($K12/(-1.2+1)*((1/(1-$H12))^(-1.2+1)-1))))</f>
        <v>0</v>
      </c>
      <c r="O12" s="57"/>
      <c r="P12" s="95" t="s">
        <v>50</v>
      </c>
      <c r="Q12" s="96">
        <f>SUMIF($D$9:$D$49,$P12,$K$9:$K$49)/SUMIF($D$9:$D$49,$P12,$J$9:$J$49)</f>
        <v>1852.9025341130605</v>
      </c>
      <c r="R12" s="226">
        <f>SUMIF($D$9:$D$49,$P12,$K$9:$K$49)</f>
        <v>4752695</v>
      </c>
      <c r="S12" s="227">
        <f>SUMIF($D$9:$D$49,$P12,$L$9:$L$49)</f>
        <v>237308.40000000002</v>
      </c>
      <c r="T12" s="99">
        <f>IF(R12=0,"-",S12/R12)</f>
        <v>0.049931333695934624</v>
      </c>
      <c r="U12" s="228">
        <f>SUMIF($D$9:$D$49,$P12,$M$9:$M$49)</f>
        <v>244699.5912404505</v>
      </c>
      <c r="V12" s="228">
        <f>SUMIF($D$9:$D$49,$P12,$N$9:$N$49)</f>
        <v>242202.13379114575</v>
      </c>
    </row>
    <row r="13" spans="1:22" ht="42.75">
      <c r="A13" s="134" t="s">
        <v>69</v>
      </c>
      <c r="B13" s="134" t="s">
        <v>70</v>
      </c>
      <c r="C13" s="135" t="s">
        <v>71</v>
      </c>
      <c r="D13" s="95" t="s">
        <v>50</v>
      </c>
      <c r="E13" s="136" t="s">
        <v>72</v>
      </c>
      <c r="F13" s="137">
        <v>0</v>
      </c>
      <c r="G13" s="137">
        <v>0.1</v>
      </c>
      <c r="H13" s="137">
        <v>0.05</v>
      </c>
      <c r="I13" s="138">
        <v>1857.6</v>
      </c>
      <c r="J13" s="139">
        <v>2555</v>
      </c>
      <c r="K13" s="140">
        <f>IF(J13="-",0,I13*J13)</f>
        <v>4746168</v>
      </c>
      <c r="L13" s="141">
        <f>IF(H13="-","-",K13*H13)</f>
        <v>237308.40000000002</v>
      </c>
      <c r="M13" s="142">
        <f>IF($H13="-","-",(($K13/(-0.8+1)*((1/(1-$H13))^(-0.8+1)-1))))</f>
        <v>244699.5912404505</v>
      </c>
      <c r="N13" s="142">
        <f>IF($H13="-","-",(($K13/(-1.2+1)*((1/(1-$H13))^(-1.2+1)-1))))</f>
        <v>242202.13379114575</v>
      </c>
      <c r="O13" s="57"/>
      <c r="P13" s="101" t="s">
        <v>54</v>
      </c>
      <c r="Q13" s="102">
        <f>SUMIF($D$9:$D$49,$P13,$K$9:$K$49)/SUMIF($D$9:$D$49,$P13,$J$9:$J$49)</f>
        <v>212.7</v>
      </c>
      <c r="R13" s="229">
        <f>SUMIF($D$9:$D$49,$P13,$K$9:$K$49)</f>
        <v>96668959.5</v>
      </c>
      <c r="S13" s="230">
        <f>SUMIF($D$9:$D$49,$P13,$L$9:$L$49)</f>
        <v>0</v>
      </c>
      <c r="T13" s="105">
        <f>IF(R13=0,"-",S13/R13)</f>
        <v>0</v>
      </c>
      <c r="U13" s="231">
        <f>SUMIF($D$9:$D$49,$P13,$M$9:$M$49)</f>
        <v>0</v>
      </c>
      <c r="V13" s="231">
        <f>SUMIF($D$9:$D$49,$P13,$N$9:$N$49)</f>
        <v>0</v>
      </c>
    </row>
    <row r="14" spans="1:22" ht="29.25">
      <c r="A14" s="85" t="s">
        <v>73</v>
      </c>
      <c r="B14" s="85" t="s">
        <v>74</v>
      </c>
      <c r="C14" s="86" t="s">
        <v>75</v>
      </c>
      <c r="D14" s="87" t="s">
        <v>48</v>
      </c>
      <c r="E14" s="88" t="s">
        <v>72</v>
      </c>
      <c r="F14" s="89">
        <v>0</v>
      </c>
      <c r="G14" s="89">
        <v>0.1</v>
      </c>
      <c r="H14" s="89">
        <v>0.05</v>
      </c>
      <c r="I14" s="90">
        <v>1536</v>
      </c>
      <c r="J14" s="91">
        <v>30698</v>
      </c>
      <c r="K14" s="92">
        <f>IF(J14="-",0,I14*J14)</f>
        <v>47152128</v>
      </c>
      <c r="L14" s="93">
        <f>IF(H14="-","-",K14*H14)</f>
        <v>2357606.4</v>
      </c>
      <c r="M14" s="94">
        <f>IF($H14="-","-",(($K14/(-0.8+1)*((1/(1-$H14))^(-0.8+1)-1))))</f>
        <v>2431036.2481305767</v>
      </c>
      <c r="N14" s="94">
        <f>IF($H14="-","-",(($K14/(-1.2+1)*((1/(1-$H14))^(-1.2+1)-1))))</f>
        <v>2406224.561455311</v>
      </c>
      <c r="O14" s="57"/>
      <c r="P14" s="49" t="s">
        <v>34</v>
      </c>
      <c r="Q14" s="129">
        <f>SUMIF($D$9:$D$49,$P14,$K$9:$K$49)/SUMIF($D$9:$D$49,$P14,$J$9:$J$49)</f>
        <v>1541.2002846693313</v>
      </c>
      <c r="R14" s="232">
        <f>SUMIF($D$9:$D$49,$P14,$K$9:$K$49)</f>
        <v>245254283.70000002</v>
      </c>
      <c r="S14" s="233">
        <f>SUMIF($D$9:$D$49,$P14,$L$9:$L$49)</f>
        <v>60056253.6</v>
      </c>
      <c r="T14" s="132">
        <f>IF(R14=0,"-",S14/R14)</f>
        <v>0.2448734133975903</v>
      </c>
      <c r="U14" s="234">
        <f>SUMIF($D$9:$D$49,$P14,$M$9:$M$49)</f>
        <v>71135240.3438711</v>
      </c>
      <c r="V14" s="234">
        <f>SUMIF($D$9:$D$49,$P14,$N$9:$N$49)</f>
        <v>67157892.02161005</v>
      </c>
    </row>
    <row r="15" spans="1:22" ht="42.75">
      <c r="A15" s="85" t="s">
        <v>81</v>
      </c>
      <c r="B15" s="85" t="s">
        <v>82</v>
      </c>
      <c r="C15" s="86" t="s">
        <v>83</v>
      </c>
      <c r="D15" s="87" t="s">
        <v>48</v>
      </c>
      <c r="E15" s="88" t="s">
        <v>49</v>
      </c>
      <c r="F15" s="89" t="str">
        <f>IF(E15="No aumenta",0,IF(E15="Pequeña",0,IF(E15="Moderada",0.1,IF(E15="Grande",0.4,IF(E15="Esencial",0.9,"-")))))</f>
        <v>-</v>
      </c>
      <c r="G15" s="89" t="str">
        <f>IF(E15="No aumenta",0,IF(E15="Pequeña",0.1,IF(E15="Moderada",0.4,IF(E15="Grande",0.9,IF(E15="Esencial",1,"-")))))</f>
        <v>-</v>
      </c>
      <c r="H15" s="89" t="str">
        <f>IF(F15="-","-",AVERAGE(F15:G15))</f>
        <v>-</v>
      </c>
      <c r="I15" s="90">
        <v>247</v>
      </c>
      <c r="J15" s="91">
        <v>72396</v>
      </c>
      <c r="K15" s="92">
        <f>IF(J15="-",0,I15*J15)</f>
        <v>17881812</v>
      </c>
      <c r="L15" s="93" t="str">
        <f>IF(H15="-","-",K15*H15)</f>
        <v>-</v>
      </c>
      <c r="M15" s="94" t="str">
        <f>IF($H15="-","-",(($K15/(-0.8+1)*((1/(1-$H15))^(-0.8+1)-1))))</f>
        <v>-</v>
      </c>
      <c r="N15" s="94" t="str">
        <f>IF($H15="-","-",(($K15/(-1.2+1)*((1/(1-$H15))^(-1.2+1)-1))))</f>
        <v>-</v>
      </c>
      <c r="O15" s="57"/>
      <c r="P15" s="87" t="s">
        <v>48</v>
      </c>
      <c r="Q15" s="143">
        <f>SUMIF($D$9:$D$49,$P15,$K$9:$K$49)/SUMIF($D$9:$D$49,$P15,$J$9:$J$49)</f>
        <v>523.4416990954682</v>
      </c>
      <c r="R15" s="235">
        <f>SUMIF($D$9:$D$49,$P15,$K$9:$K$49)</f>
        <v>180782106.50000003</v>
      </c>
      <c r="S15" s="236">
        <f>SUMIF($D$9:$D$49,$P15,$L$9:$L$49)</f>
        <v>9081586.235000001</v>
      </c>
      <c r="T15" s="146">
        <f>IF(R15=0,"-",S15/R15)</f>
        <v>0.050234984041410094</v>
      </c>
      <c r="U15" s="237">
        <f>SUMIF($D$9:$D$49,$P15,$M$9:$M$49)</f>
        <v>14485862.542465545</v>
      </c>
      <c r="V15" s="237">
        <f>SUMIF($D$9:$D$49,$P15,$N$9:$N$49)</f>
        <v>11383799.538804146</v>
      </c>
    </row>
    <row r="16" spans="1:22" ht="42.75">
      <c r="A16" s="85" t="s">
        <v>84</v>
      </c>
      <c r="B16" s="85" t="s">
        <v>85</v>
      </c>
      <c r="C16" s="86" t="s">
        <v>86</v>
      </c>
      <c r="D16" s="87" t="s">
        <v>48</v>
      </c>
      <c r="E16" s="88" t="s">
        <v>49</v>
      </c>
      <c r="F16" s="89" t="str">
        <f>IF(E16="No aumenta",0,IF(E16="Pequeña",0,IF(E16="Moderada",0.1,IF(E16="Grande",0.4,IF(E16="Esencial",0.9,"-")))))</f>
        <v>-</v>
      </c>
      <c r="G16" s="89" t="str">
        <f>IF(E16="No aumenta",0,IF(E16="Pequeña",0.1,IF(E16="Moderada",0.4,IF(E16="Grande",0.9,IF(E16="Esencial",1,"-")))))</f>
        <v>-</v>
      </c>
      <c r="H16" s="89" t="str">
        <f>IF(F16="-","-",AVERAGE(F16:G16))</f>
        <v>-</v>
      </c>
      <c r="I16" s="90">
        <v>283.4</v>
      </c>
      <c r="J16" s="91">
        <v>2603</v>
      </c>
      <c r="K16" s="92">
        <f>IF(J16="-",0,I16*J16)</f>
        <v>737690.2</v>
      </c>
      <c r="L16" s="93" t="str">
        <f>IF(H16="-","-",K16*H16)</f>
        <v>-</v>
      </c>
      <c r="M16" s="94" t="str">
        <f>IF($H16="-","-",(($K16/(-0.8+1)*((1/(1-$H16))^(-0.8+1)-1))))</f>
        <v>-</v>
      </c>
      <c r="N16" s="94" t="str">
        <f>IF($H16="-","-",(($K16/(-1.2+1)*((1/(1-$H16))^(-1.2+1)-1))))</f>
        <v>-</v>
      </c>
      <c r="O16" s="57"/>
      <c r="P16" s="57"/>
      <c r="Q16" s="57"/>
      <c r="R16" s="238"/>
      <c r="S16" s="239"/>
      <c r="T16" s="150"/>
      <c r="U16" s="240"/>
      <c r="V16" s="240"/>
    </row>
    <row r="17" spans="1:22" ht="42.75">
      <c r="A17" s="85" t="s">
        <v>87</v>
      </c>
      <c r="B17" s="85" t="s">
        <v>88</v>
      </c>
      <c r="C17" s="86" t="s">
        <v>83</v>
      </c>
      <c r="D17" s="87" t="s">
        <v>48</v>
      </c>
      <c r="E17" s="88" t="s">
        <v>49</v>
      </c>
      <c r="F17" s="89" t="str">
        <f>IF(E17="No aumenta",0,IF(E17="Pequeña",0,IF(E17="Moderada",0.1,IF(E17="Grande",0.4,IF(E17="Esencial",0.9,"-")))))</f>
        <v>-</v>
      </c>
      <c r="G17" s="89" t="str">
        <f>IF(E17="No aumenta",0,IF(E17="Pequeña",0.1,IF(E17="Moderada",0.4,IF(E17="Grande",0.9,IF(E17="Esencial",1,"-")))))</f>
        <v>-</v>
      </c>
      <c r="H17" s="89" t="str">
        <f>IF(F17="-","-",AVERAGE(F17:G17))</f>
        <v>-</v>
      </c>
      <c r="I17" s="90">
        <v>325.3</v>
      </c>
      <c r="J17" s="91">
        <v>1514</v>
      </c>
      <c r="K17" s="92">
        <f>IF(J17="-",0,I17*J17)</f>
        <v>492504.2</v>
      </c>
      <c r="L17" s="93" t="str">
        <f>IF(H17="-","-",K17*H17)</f>
        <v>-</v>
      </c>
      <c r="M17" s="94" t="str">
        <f>IF($H17="-","-",(($K17/(-0.8+1)*((1/(1-$H17))^(-0.8+1)-1))))</f>
        <v>-</v>
      </c>
      <c r="N17" s="94" t="str">
        <f>IF($H17="-","-",(($K17/(-1.2+1)*((1/(1-$H17))^(-1.2+1)-1))))</f>
        <v>-</v>
      </c>
      <c r="O17" s="57"/>
      <c r="P17" s="152" t="s">
        <v>80</v>
      </c>
      <c r="Q17" s="152"/>
      <c r="R17" s="241">
        <f>SUM(R9:R15)</f>
        <v>793994962.3000001</v>
      </c>
      <c r="S17" s="242">
        <f>SUM(S9:S15)</f>
        <v>130799668.17</v>
      </c>
      <c r="T17" s="155">
        <f>IF(R17=0,"-",S17/R17)</f>
        <v>0.16473614365399356</v>
      </c>
      <c r="U17" s="243">
        <f>SUM(U9:U15)</f>
        <v>226776221.7592098</v>
      </c>
      <c r="V17" s="243">
        <f>SUM(V9:V15)</f>
        <v>179098971.2275238</v>
      </c>
    </row>
    <row r="18" spans="1:15" ht="29.25">
      <c r="A18" s="64" t="s">
        <v>246</v>
      </c>
      <c r="B18" s="64" t="s">
        <v>90</v>
      </c>
      <c r="C18" s="65" t="s">
        <v>91</v>
      </c>
      <c r="D18" s="66" t="s">
        <v>40</v>
      </c>
      <c r="E18" s="67" t="s">
        <v>35</v>
      </c>
      <c r="F18" s="68">
        <f>IF(E18="No aumenta",0,IF(E18="Pequeña",0,IF(E18="Moderada",0.1,IF(E18="Grande",0.4,IF(E18="Esencial",0.9,"-")))))</f>
        <v>0.4</v>
      </c>
      <c r="G18" s="68">
        <f>IF(E18="No aumenta",0,IF(E18="Pequeña",0.1,IF(E18="Moderada",0.4,IF(E18="Grande",0.9,IF(E18="Esencial",1,"-")))))</f>
        <v>0.9</v>
      </c>
      <c r="H18" s="68">
        <f>IF(F18="-","-",AVERAGE(F18:G18))</f>
        <v>0.65</v>
      </c>
      <c r="I18" s="69">
        <v>1344.2</v>
      </c>
      <c r="J18" s="70">
        <v>5932</v>
      </c>
      <c r="K18" s="71">
        <f>IF(J18="-",0,I18*J18)</f>
        <v>7973794.4</v>
      </c>
      <c r="L18" s="72">
        <f>IF(H18="-","-",K18*H18)</f>
        <v>5182966.36</v>
      </c>
      <c r="M18" s="73">
        <f>IF($H18="-","-",(($K18/(-0.8+1)*((1/(1-$H18))^(-0.8+1)-1))))</f>
        <v>9314754.282312313</v>
      </c>
      <c r="N18" s="73">
        <f>IF($H18="-","-",(($K18/(-1.2+1)*((1/(1-$H18))^(-1.2+1)-1))))</f>
        <v>7550661.687094322</v>
      </c>
      <c r="O18" s="57"/>
    </row>
    <row r="19" spans="1:15" ht="16.5">
      <c r="A19" s="47" t="s">
        <v>92</v>
      </c>
      <c r="B19" s="47" t="s">
        <v>93</v>
      </c>
      <c r="C19" s="48" t="s">
        <v>94</v>
      </c>
      <c r="D19" s="49" t="s">
        <v>34</v>
      </c>
      <c r="E19" s="50" t="s">
        <v>79</v>
      </c>
      <c r="F19" s="51">
        <f>IF(E19="No aumenta",0,IF(E19="Pequeña",0,IF(E19="Moderada",0.1,IF(E19="Grande",0.4,IF(E19="Esencial",0.9,"-")))))</f>
        <v>0.1</v>
      </c>
      <c r="G19" s="51">
        <f>IF(E19="No aumenta",0,IF(E19="Pequeña",0.1,IF(E19="Moderada",0.4,IF(E19="Grande",0.9,IF(E19="Esencial",1,"-")))))</f>
        <v>0.4</v>
      </c>
      <c r="H19" s="51">
        <f>IF(F19="-","-",AVERAGE(F19:G19))</f>
        <v>0.25</v>
      </c>
      <c r="I19" s="157">
        <v>1532.8</v>
      </c>
      <c r="J19" s="158">
        <v>156723</v>
      </c>
      <c r="K19" s="54">
        <f>IF(J19="-",0,I19*J19)</f>
        <v>240225014.4</v>
      </c>
      <c r="L19" s="55">
        <f>IF(H19="-","-",K19*H19)</f>
        <v>60056253.6</v>
      </c>
      <c r="M19" s="56">
        <f>IF($H19="-","-",(($K19/(-0.8+1)*((1/(1-$H19))^(-0.8+1)-1))))</f>
        <v>71135240.3438711</v>
      </c>
      <c r="N19" s="56">
        <f>IF($H19="-","-",(($K19/(-1.2+1)*((1/(1-$H19))^(-1.2+1)-1))))</f>
        <v>67157892.02161005</v>
      </c>
      <c r="O19" s="57"/>
    </row>
    <row r="20" spans="1:15" ht="16.5">
      <c r="A20" s="134" t="s">
        <v>95</v>
      </c>
      <c r="B20" s="134" t="s">
        <v>96</v>
      </c>
      <c r="C20" s="135" t="s">
        <v>97</v>
      </c>
      <c r="D20" s="95" t="s">
        <v>50</v>
      </c>
      <c r="E20" s="136" t="s">
        <v>68</v>
      </c>
      <c r="F20" s="137">
        <v>0</v>
      </c>
      <c r="G20" s="137">
        <v>0</v>
      </c>
      <c r="H20" s="137">
        <v>0</v>
      </c>
      <c r="I20" s="138">
        <v>652.7</v>
      </c>
      <c r="J20" s="139">
        <v>10</v>
      </c>
      <c r="K20" s="140">
        <f>IF(J20="-",0,I20*J20)</f>
        <v>6527</v>
      </c>
      <c r="L20" s="141">
        <f>IF(H20="-","-",K20*H20)</f>
        <v>0</v>
      </c>
      <c r="M20" s="142">
        <f>IF($H20="-","-",(($K20/(-0.8+1)*((1/(1-$H20))^(-0.8+1)-1))))</f>
        <v>0</v>
      </c>
      <c r="N20" s="142">
        <f>IF($H20="-","-",(($K20/(-1.2+1)*((1/(1-$H20))^(-1.2+1)-1))))</f>
        <v>0</v>
      </c>
      <c r="O20" s="57"/>
    </row>
    <row r="21" spans="1:15" ht="29.25">
      <c r="A21" s="85" t="s">
        <v>101</v>
      </c>
      <c r="B21" s="85" t="s">
        <v>102</v>
      </c>
      <c r="C21" s="86" t="s">
        <v>100</v>
      </c>
      <c r="D21" s="87" t="s">
        <v>48</v>
      </c>
      <c r="E21" s="88" t="s">
        <v>72</v>
      </c>
      <c r="F21" s="89">
        <v>0</v>
      </c>
      <c r="G21" s="89">
        <v>0.1</v>
      </c>
      <c r="H21" s="89">
        <v>0.05</v>
      </c>
      <c r="I21" s="90">
        <v>708.5</v>
      </c>
      <c r="J21" s="91">
        <v>70259</v>
      </c>
      <c r="K21" s="92">
        <f>IF(J21="-",0,I21*J21)</f>
        <v>49778501.5</v>
      </c>
      <c r="L21" s="93">
        <f>IF(H21="-","-",K21*H21)</f>
        <v>2488925.075</v>
      </c>
      <c r="M21" s="94">
        <f>IF($H21="-","-",(($K21/(-0.8+1)*((1/(1-$H21))^(-0.8+1)-1))))</f>
        <v>2566444.9656253536</v>
      </c>
      <c r="N21" s="94">
        <f>IF($H21="-","-",(($K21/(-1.2+1)*((1/(1-$H21))^(-1.2+1)-1))))</f>
        <v>2540251.2680178513</v>
      </c>
      <c r="O21" s="57"/>
    </row>
    <row r="22" spans="1:15" ht="29.25">
      <c r="A22" s="85" t="s">
        <v>103</v>
      </c>
      <c r="B22" s="85" t="s">
        <v>104</v>
      </c>
      <c r="C22" s="86" t="s">
        <v>105</v>
      </c>
      <c r="D22" s="87" t="s">
        <v>48</v>
      </c>
      <c r="E22" s="88" t="s">
        <v>35</v>
      </c>
      <c r="F22" s="89">
        <v>0.4</v>
      </c>
      <c r="G22" s="89">
        <v>0.9</v>
      </c>
      <c r="H22" s="89">
        <v>0.65</v>
      </c>
      <c r="I22" s="90">
        <v>371.5</v>
      </c>
      <c r="J22" s="91">
        <v>240</v>
      </c>
      <c r="K22" s="92">
        <f>IF(J22="-",0,I22*J22)</f>
        <v>89160</v>
      </c>
      <c r="L22" s="93">
        <f>IF(H22="-","-",K22*H22)</f>
        <v>57954</v>
      </c>
      <c r="M22" s="94">
        <f>IF($H22="-","-",(($K22/(-0.8+1)*((1/(1-$H22))^(-0.8+1)-1))))</f>
        <v>104154.11410795416</v>
      </c>
      <c r="N22" s="94">
        <f>IF($H22="-","-",(($K22/(-1.2+1)*((1/(1-$H22))^(-1.2+1)-1))))</f>
        <v>84428.68755448847</v>
      </c>
      <c r="O22" s="57"/>
    </row>
    <row r="23" spans="1:15" ht="29.25">
      <c r="A23" s="85" t="s">
        <v>106</v>
      </c>
      <c r="B23" s="85" t="s">
        <v>107</v>
      </c>
      <c r="C23" s="86" t="s">
        <v>108</v>
      </c>
      <c r="D23" s="87" t="s">
        <v>48</v>
      </c>
      <c r="E23" s="88" t="s">
        <v>79</v>
      </c>
      <c r="F23" s="89">
        <v>0.1</v>
      </c>
      <c r="G23" s="89">
        <v>0.4</v>
      </c>
      <c r="H23" s="89">
        <v>0.25</v>
      </c>
      <c r="I23" s="90">
        <v>524.4</v>
      </c>
      <c r="J23" s="91">
        <v>532</v>
      </c>
      <c r="K23" s="92">
        <f>IF(J23="-",0,I23*J23)</f>
        <v>278980.8</v>
      </c>
      <c r="L23" s="93">
        <f>IF(H23="-","-",K23*H23)</f>
        <v>69745.2</v>
      </c>
      <c r="M23" s="94">
        <f>IF($H23="-","-",(($K23/(-0.8+1)*((1/(1-$H23))^(-0.8+1)-1))))</f>
        <v>82611.57277435232</v>
      </c>
      <c r="N23" s="94">
        <f>IF($H23="-","-",(($K23/(-1.2+1)*((1/(1-$H23))^(-1.2+1)-1))))</f>
        <v>77992.55414469606</v>
      </c>
      <c r="O23" s="57"/>
    </row>
    <row r="24" spans="1:15" ht="16.5">
      <c r="A24" s="64" t="s">
        <v>109</v>
      </c>
      <c r="B24" s="64" t="s">
        <v>110</v>
      </c>
      <c r="C24" s="65" t="s">
        <v>111</v>
      </c>
      <c r="D24" s="66" t="s">
        <v>40</v>
      </c>
      <c r="E24" s="67" t="s">
        <v>79</v>
      </c>
      <c r="F24" s="68">
        <f>IF(E24="No aumenta",0,IF(E24="Pequeña",0,IF(E24="Moderada",0.1,IF(E24="Grande",0.4,IF(E24="Esencial",0.9,"-")))))</f>
        <v>0.1</v>
      </c>
      <c r="G24" s="68">
        <f>IF(E24="No aumenta",0,IF(E24="Pequeña",0.1,IF(E24="Moderada",0.4,IF(E24="Grande",0.9,IF(E24="Esencial",1,"-")))))</f>
        <v>0.4</v>
      </c>
      <c r="H24" s="68">
        <f>IF(F24="-","-",AVERAGE(F24:G24))</f>
        <v>0.25</v>
      </c>
      <c r="I24" s="69">
        <v>1167.4</v>
      </c>
      <c r="J24" s="70">
        <v>3250</v>
      </c>
      <c r="K24" s="71">
        <f>IF(J24="-",0,I24*J24)</f>
        <v>3794050.0000000005</v>
      </c>
      <c r="L24" s="72">
        <f>IF(H24="-","-",K24*H24)</f>
        <v>948512.5000000001</v>
      </c>
      <c r="M24" s="73">
        <f>IF($H24="-","-",(($K24/(-0.8+1)*((1/(1-$H24))^(-0.8+1)-1))))</f>
        <v>1123491.0706562295</v>
      </c>
      <c r="N24" s="73">
        <f>IF($H24="-","-",(($K24/(-1.2+1)*((1/(1-$H24))^(-1.2+1)-1))))</f>
        <v>1060673.8888578862</v>
      </c>
      <c r="O24" s="57"/>
    </row>
    <row r="25" spans="1:15" ht="29.25">
      <c r="A25" s="85" t="s">
        <v>112</v>
      </c>
      <c r="B25" s="85" t="s">
        <v>113</v>
      </c>
      <c r="C25" s="86" t="s">
        <v>114</v>
      </c>
      <c r="D25" s="87" t="s">
        <v>48</v>
      </c>
      <c r="E25" s="88" t="s">
        <v>62</v>
      </c>
      <c r="F25" s="89" t="s">
        <v>63</v>
      </c>
      <c r="G25" s="89" t="s">
        <v>63</v>
      </c>
      <c r="H25" s="89" t="s">
        <v>63</v>
      </c>
      <c r="I25" s="90">
        <v>1879.1</v>
      </c>
      <c r="J25" s="91">
        <v>130</v>
      </c>
      <c r="K25" s="92">
        <f>IF(J25="-",0,I25*J25)</f>
        <v>244283</v>
      </c>
      <c r="L25" s="93" t="str">
        <f>IF(H25="-","-",K25*H25)</f>
        <v>-</v>
      </c>
      <c r="M25" s="94" t="str">
        <f>IF($H25="-","-",(($K25/(-0.8+1)*((1/(1-$H25))^(-0.8+1)-1))))</f>
        <v>-</v>
      </c>
      <c r="N25" s="94" t="str">
        <f>IF($H25="-","-",(($K25/(-1.2+1)*((1/(1-$H25))^(-1.2+1)-1))))</f>
        <v>-</v>
      </c>
      <c r="O25" s="57"/>
    </row>
    <row r="26" spans="1:15" ht="16.5">
      <c r="A26" s="64" t="s">
        <v>118</v>
      </c>
      <c r="B26" s="64" t="s">
        <v>119</v>
      </c>
      <c r="C26" s="65" t="s">
        <v>120</v>
      </c>
      <c r="D26" s="66" t="s">
        <v>40</v>
      </c>
      <c r="E26" s="67" t="s">
        <v>68</v>
      </c>
      <c r="F26" s="68">
        <f>IF(E26="No aumenta",0,IF(E26="Pequeña",0,IF(E26="Moderada",0.1,IF(E26="Grande",0.4,IF(E26="Esencial",0.9,"-")))))</f>
        <v>0</v>
      </c>
      <c r="G26" s="68">
        <f>IF(E26="No aumenta",0,IF(E26="Pequeña",0.1,IF(E26="Moderada",0.4,IF(E26="Grande",0.9,IF(E26="Esencial",1,"-")))))</f>
        <v>0</v>
      </c>
      <c r="H26" s="68">
        <f>IF(F26="-","-",AVERAGE(F26:G26))</f>
        <v>0</v>
      </c>
      <c r="I26" s="69">
        <v>601</v>
      </c>
      <c r="J26" s="70">
        <v>218538</v>
      </c>
      <c r="K26" s="71">
        <f>IF(J26="-",0,I26*J26)</f>
        <v>131341338</v>
      </c>
      <c r="L26" s="72">
        <f>IF(H26="-","-",K26*H26)</f>
        <v>0</v>
      </c>
      <c r="M26" s="73">
        <f>IF($H26="-","-",(($K26/(-0.8+1)*((1/(1-$H26))^(-0.8+1)-1))))</f>
        <v>0</v>
      </c>
      <c r="N26" s="73">
        <f>IF($H26="-","-",(($K26/(-1.2+1)*((1/(1-$H26))^(-1.2+1)-1))))</f>
        <v>0</v>
      </c>
      <c r="O26" s="57"/>
    </row>
    <row r="27" spans="1:15" ht="16.5">
      <c r="A27" s="64" t="s">
        <v>127</v>
      </c>
      <c r="B27" s="64" t="s">
        <v>128</v>
      </c>
      <c r="C27" s="65" t="s">
        <v>129</v>
      </c>
      <c r="D27" s="171" t="s">
        <v>40</v>
      </c>
      <c r="E27" s="67" t="s">
        <v>130</v>
      </c>
      <c r="F27" s="68">
        <f>IF(E27="No aumenta",0,IF(E27="Pequeña",0,IF(E27="Moderada",0.1,IF(E27="Grande",0.4,IF(E27="Esencial",0.9,"-")))))</f>
        <v>0.9</v>
      </c>
      <c r="G27" s="68">
        <f>IF(E27="No aumenta",0,IF(E27="Pequeña",0.1,IF(E27="Moderada",0.4,IF(E27="Grande",0.9,IF(E27="Esencial",1,"-")))))</f>
        <v>1</v>
      </c>
      <c r="H27" s="68">
        <f>IF(F27="-","-",AVERAGE(F27:G27))</f>
        <v>0.95</v>
      </c>
      <c r="I27" s="69">
        <v>706</v>
      </c>
      <c r="J27" s="70">
        <v>18818</v>
      </c>
      <c r="K27" s="71">
        <f>IF(J27="-",0,I27*J27)</f>
        <v>13285508</v>
      </c>
      <c r="L27" s="72">
        <f>IF(H27="-","-",K27*H27)</f>
        <v>12621232.6</v>
      </c>
      <c r="M27" s="73">
        <f>IF($H27="-","-",(($K27/(-0.8+1)*((1/(1-$H27))^(-0.8+1)-1))))</f>
        <v>54508061.41908305</v>
      </c>
      <c r="N27" s="73">
        <f>IF($H27="-","-",(($K27/(-1.2+1)*((1/(1-$H27))^(-1.2+1)-1))))</f>
        <v>29940202.78355556</v>
      </c>
      <c r="O27" s="57"/>
    </row>
    <row r="28" spans="1:15" ht="29.25">
      <c r="A28" s="64" t="s">
        <v>131</v>
      </c>
      <c r="B28" s="64" t="s">
        <v>132</v>
      </c>
      <c r="C28" s="65" t="s">
        <v>133</v>
      </c>
      <c r="D28" s="66" t="s">
        <v>40</v>
      </c>
      <c r="E28" s="67" t="s">
        <v>72</v>
      </c>
      <c r="F28" s="68">
        <v>0</v>
      </c>
      <c r="G28" s="68">
        <v>0.1</v>
      </c>
      <c r="H28" s="68">
        <v>0.05</v>
      </c>
      <c r="I28" s="69">
        <v>164.4</v>
      </c>
      <c r="J28" s="70">
        <v>7618</v>
      </c>
      <c r="K28" s="71">
        <f>IF(J28="-",0,I28*J28)</f>
        <v>1252399.2</v>
      </c>
      <c r="L28" s="72">
        <f>IF(H28="-","-",K28*H28)</f>
        <v>62619.96</v>
      </c>
      <c r="M28" s="73">
        <f>IF($H28="-","-",(($K28/(-0.8+1)*((1/(1-$H28))^(-0.8+1)-1))))</f>
        <v>64570.317003078526</v>
      </c>
      <c r="N28" s="73">
        <f>IF($H28="-","-",(($K28/(-1.2+1)*((1/(1-$H28))^(-1.2+1)-1))))</f>
        <v>63911.29825120474</v>
      </c>
      <c r="O28" s="57"/>
    </row>
    <row r="29" spans="1:15" ht="42.75">
      <c r="A29" s="85" t="s">
        <v>137</v>
      </c>
      <c r="B29" s="85" t="s">
        <v>138</v>
      </c>
      <c r="C29" s="86" t="s">
        <v>139</v>
      </c>
      <c r="D29" s="87" t="s">
        <v>48</v>
      </c>
      <c r="E29" s="88" t="s">
        <v>49</v>
      </c>
      <c r="F29" s="89" t="str">
        <f>IF(E29="No aumenta",0,IF(E29="Pequeña",0,IF(E29="Moderada",0.1,IF(E29="Grande",0.4,IF(E29="Esencial",0.9,"-")))))</f>
        <v>-</v>
      </c>
      <c r="G29" s="89" t="str">
        <f>IF(E29="No aumenta",0,IF(E29="Pequeña",0.1,IF(E29="Moderada",0.4,IF(E29="Grande",0.9,IF(E29="Esencial",1,"-")))))</f>
        <v>-</v>
      </c>
      <c r="H29" s="89" t="str">
        <f>IF(F29="-","-",AVERAGE(F29:G29))</f>
        <v>-</v>
      </c>
      <c r="I29" s="90">
        <v>300</v>
      </c>
      <c r="J29" s="91">
        <v>19136</v>
      </c>
      <c r="K29" s="92">
        <f>IF(J29="-",0,I29*J29)</f>
        <v>5740800</v>
      </c>
      <c r="L29" s="93" t="str">
        <f>IF(H29="-","-",K29*H29)</f>
        <v>-</v>
      </c>
      <c r="M29" s="94" t="str">
        <f>IF($H29="-","-",(($K29/(-0.8+1)*((1/(1-$H29))^(-0.8+1)-1))))</f>
        <v>-</v>
      </c>
      <c r="N29" s="94" t="str">
        <f>IF($H29="-","-",(($K29/(-1.2+1)*((1/(1-$H29))^(-1.2+1)-1))))</f>
        <v>-</v>
      </c>
      <c r="O29" s="57"/>
    </row>
    <row r="30" spans="1:15" ht="16.5">
      <c r="A30" s="119" t="s">
        <v>143</v>
      </c>
      <c r="B30" s="119" t="s">
        <v>144</v>
      </c>
      <c r="C30" s="120" t="s">
        <v>145</v>
      </c>
      <c r="D30" s="121" t="s">
        <v>36</v>
      </c>
      <c r="E30" s="122" t="s">
        <v>68</v>
      </c>
      <c r="F30" s="123">
        <v>0</v>
      </c>
      <c r="G30" s="123">
        <v>0</v>
      </c>
      <c r="H30" s="123">
        <v>0</v>
      </c>
      <c r="I30" s="124">
        <v>216.9</v>
      </c>
      <c r="J30" s="125">
        <v>127425</v>
      </c>
      <c r="K30" s="126">
        <f>IF(J30="-",0,I30*J30)</f>
        <v>27638482.5</v>
      </c>
      <c r="L30" s="127">
        <f>IF(H30="-","-",K30*H30)</f>
        <v>0</v>
      </c>
      <c r="M30" s="128">
        <f>IF($H30="-","-",(($K30/(-0.8+1)*((1/(1-$H30))^(-0.8+1)-1))))</f>
        <v>0</v>
      </c>
      <c r="N30" s="128">
        <f>IF($H30="-","-",(($K30/(-1.2+1)*((1/(1-$H30))^(-1.2+1)-1))))</f>
        <v>0</v>
      </c>
      <c r="O30" s="57"/>
    </row>
    <row r="31" spans="1:15" ht="29.25">
      <c r="A31" s="85" t="s">
        <v>146</v>
      </c>
      <c r="B31" s="85" t="s">
        <v>147</v>
      </c>
      <c r="C31" s="86" t="s">
        <v>148</v>
      </c>
      <c r="D31" s="87" t="s">
        <v>48</v>
      </c>
      <c r="E31" s="88" t="s">
        <v>68</v>
      </c>
      <c r="F31" s="89">
        <f>IF(E31="No aumenta",0,IF(E31="Pequeña",0,IF(E31="Moderada",0.1,IF(E31="Grande",0.4,IF(E31="Esencial",0.9,"-")))))</f>
        <v>0</v>
      </c>
      <c r="G31" s="89">
        <f>IF(E31="No aumenta",0,IF(E31="Pequeña",0.1,IF(E31="Moderada",0.4,IF(E31="Grande",0.9,IF(E31="Esencial",1,"-")))))</f>
        <v>0</v>
      </c>
      <c r="H31" s="89">
        <f>IF(F31="-","-",AVERAGE(F31:G31))</f>
        <v>0</v>
      </c>
      <c r="I31" s="90">
        <v>1034.6</v>
      </c>
      <c r="J31" s="91">
        <v>120</v>
      </c>
      <c r="K31" s="92">
        <f>IF(J31="-",0,I31*J31)</f>
        <v>124151.99999999999</v>
      </c>
      <c r="L31" s="93">
        <f>IF(H31="-","-",K31*H31)</f>
        <v>0</v>
      </c>
      <c r="M31" s="94">
        <f>IF($H31="-","-",(($K31/(-0.8+1)*((1/(1-$H31))^(-0.8+1)-1))))</f>
        <v>0</v>
      </c>
      <c r="N31" s="94">
        <f>IF($H31="-","-",(($K31/(-1.2+1)*((1/(1-$H31))^(-1.2+1)-1))))</f>
        <v>0</v>
      </c>
      <c r="O31" s="57"/>
    </row>
    <row r="32" spans="1:15" ht="16.5">
      <c r="A32" s="119" t="s">
        <v>149</v>
      </c>
      <c r="B32" s="119" t="s">
        <v>150</v>
      </c>
      <c r="C32" s="120" t="s">
        <v>151</v>
      </c>
      <c r="D32" s="121" t="s">
        <v>36</v>
      </c>
      <c r="E32" s="122" t="s">
        <v>68</v>
      </c>
      <c r="F32" s="123">
        <v>0</v>
      </c>
      <c r="G32" s="123">
        <v>0</v>
      </c>
      <c r="H32" s="123">
        <v>0</v>
      </c>
      <c r="I32" s="124">
        <v>181.5</v>
      </c>
      <c r="J32" s="125">
        <v>98</v>
      </c>
      <c r="K32" s="126">
        <f>IF(J32="-",0,I32*J32)</f>
        <v>17787</v>
      </c>
      <c r="L32" s="127">
        <f>IF(H32="-","-",K32*H32)</f>
        <v>0</v>
      </c>
      <c r="M32" s="128">
        <f>IF($H32="-","-",(($K32/(-0.8+1)*((1/(1-$H32))^(-0.8+1)-1))))</f>
        <v>0</v>
      </c>
      <c r="N32" s="128">
        <f>IF($H32="-","-",(($K32/(-1.2+1)*((1/(1-$H32))^(-1.2+1)-1))))</f>
        <v>0</v>
      </c>
      <c r="O32" s="57"/>
    </row>
    <row r="33" spans="1:15" ht="16.5">
      <c r="A33" s="174" t="s">
        <v>152</v>
      </c>
      <c r="B33" s="174" t="s">
        <v>153</v>
      </c>
      <c r="C33" s="175" t="s">
        <v>154</v>
      </c>
      <c r="D33" s="79" t="s">
        <v>44</v>
      </c>
      <c r="E33" s="176" t="s">
        <v>68</v>
      </c>
      <c r="F33" s="177">
        <f>IF(E33="No aumenta",0,IF(E33="Pequeña",0,IF(E33="Moderada",0.1,IF(E33="Grande",0.4,IF(E33="Esencial",0.9,"-")))))</f>
        <v>0</v>
      </c>
      <c r="G33" s="177">
        <f>IF(E33="No aumenta",0,IF(E33="Pequeña",0.1,IF(E33="Moderada",0.4,IF(E33="Grande",0.9,IF(E33="Esencial",1,"-")))))</f>
        <v>0</v>
      </c>
      <c r="H33" s="177">
        <f>IF(F33="-","-",AVERAGE(F33:G33))</f>
        <v>0</v>
      </c>
      <c r="I33" s="178">
        <v>396.6</v>
      </c>
      <c r="J33" s="179">
        <v>1338</v>
      </c>
      <c r="K33" s="180">
        <f>IF(J33="-",0,I33*J33)</f>
        <v>530650.8</v>
      </c>
      <c r="L33" s="181">
        <f>IF(H33="-","-",K33*H33)</f>
        <v>0</v>
      </c>
      <c r="M33" s="182">
        <f>IF($H33="-","-",(($K33/(-0.8+1)*((1/(1-$H33))^(-0.8+1)-1))))</f>
        <v>0</v>
      </c>
      <c r="N33" s="182">
        <f>IF($H33="-","-",(($K33/(-1.2+1)*((1/(1-$H33))^(-1.2+1)-1))))</f>
        <v>0</v>
      </c>
      <c r="O33" s="57"/>
    </row>
    <row r="34" spans="1:15" ht="42.75">
      <c r="A34" s="85" t="s">
        <v>158</v>
      </c>
      <c r="B34" s="85" t="s">
        <v>159</v>
      </c>
      <c r="C34" s="86" t="s">
        <v>157</v>
      </c>
      <c r="D34" s="87" t="s">
        <v>48</v>
      </c>
      <c r="E34" s="88" t="s">
        <v>49</v>
      </c>
      <c r="F34" s="89" t="s">
        <v>63</v>
      </c>
      <c r="G34" s="89" t="s">
        <v>63</v>
      </c>
      <c r="H34" s="89" t="s">
        <v>63</v>
      </c>
      <c r="I34" s="90">
        <v>174.9</v>
      </c>
      <c r="J34" s="91">
        <v>25893</v>
      </c>
      <c r="K34" s="92">
        <f>IF(J34="-",0,I34*J34)</f>
        <v>4528685.7</v>
      </c>
      <c r="L34" s="93" t="str">
        <f>IF(H34="-","-",K34*H34)</f>
        <v>-</v>
      </c>
      <c r="M34" s="94" t="str">
        <f>IF($H34="-","-",(($K34/(-0.8+1)*((1/(1-$H34))^(-0.8+1)-1))))</f>
        <v>-</v>
      </c>
      <c r="N34" s="94" t="str">
        <f>IF($H34="-","-",(($K34/(-1.2+1)*((1/(1-$H34))^(-1.2+1)-1))))</f>
        <v>-</v>
      </c>
      <c r="O34" s="57"/>
    </row>
    <row r="35" spans="1:15" ht="16.5">
      <c r="A35" s="64" t="s">
        <v>160</v>
      </c>
      <c r="B35" s="64" t="s">
        <v>161</v>
      </c>
      <c r="C35" s="65" t="s">
        <v>162</v>
      </c>
      <c r="D35" s="66" t="s">
        <v>40</v>
      </c>
      <c r="E35" s="67" t="s">
        <v>72</v>
      </c>
      <c r="F35" s="68">
        <v>0</v>
      </c>
      <c r="G35" s="68">
        <v>0.1</v>
      </c>
      <c r="H35" s="68">
        <v>0.05</v>
      </c>
      <c r="I35" s="69">
        <v>198.6</v>
      </c>
      <c r="J35" s="70">
        <v>1617</v>
      </c>
      <c r="K35" s="71">
        <f>IF(J35="-",0,I35*J35)</f>
        <v>321136.2</v>
      </c>
      <c r="L35" s="72">
        <f>IF(H35="-","-",K35*H35)</f>
        <v>16056.810000000001</v>
      </c>
      <c r="M35" s="73">
        <f>IF($H35="-","-",(($K35/(-0.8+1)*((1/(1-$H35))^(-0.8+1)-1))))</f>
        <v>16556.914309082942</v>
      </c>
      <c r="N35" s="73">
        <f>IF($H35="-","-",(($K35/(-1.2+1)*((1/(1-$H35))^(-1.2+1)-1))))</f>
        <v>16387.930827054613</v>
      </c>
      <c r="O35" s="57"/>
    </row>
    <row r="36" spans="1:15" ht="42.75">
      <c r="A36" s="64" t="s">
        <v>166</v>
      </c>
      <c r="B36" s="64" t="s">
        <v>167</v>
      </c>
      <c r="C36" s="65" t="s">
        <v>168</v>
      </c>
      <c r="D36" s="66" t="s">
        <v>40</v>
      </c>
      <c r="E36" s="67" t="s">
        <v>35</v>
      </c>
      <c r="F36" s="68">
        <v>0.4</v>
      </c>
      <c r="G36" s="68">
        <v>0.9</v>
      </c>
      <c r="H36" s="68">
        <v>0.65</v>
      </c>
      <c r="I36" s="69">
        <v>532.1</v>
      </c>
      <c r="J36" s="70">
        <v>11562</v>
      </c>
      <c r="K36" s="71">
        <f>IF(J36="-",0,I36*J36)</f>
        <v>6152140.2</v>
      </c>
      <c r="L36" s="72">
        <f>IF(H36="-","-",K36*H36)</f>
        <v>3998891.1300000004</v>
      </c>
      <c r="M36" s="73">
        <f>IF($H36="-","-",(($K36/(-0.8+1)*((1/(1-$H36))^(-0.8+1)-1))))</f>
        <v>7186750.9241692675</v>
      </c>
      <c r="N36" s="73">
        <f>IF($H36="-","-",(($K36/(-1.2+1)*((1/(1-$H36))^(-1.2+1)-1))))</f>
        <v>5825674.324105072</v>
      </c>
      <c r="O36" s="57"/>
    </row>
    <row r="37" spans="1:15" ht="16.5">
      <c r="A37" s="64" t="s">
        <v>169</v>
      </c>
      <c r="B37" s="64" t="s">
        <v>170</v>
      </c>
      <c r="C37" s="65" t="s">
        <v>171</v>
      </c>
      <c r="D37" s="66" t="s">
        <v>40</v>
      </c>
      <c r="E37" s="67" t="s">
        <v>35</v>
      </c>
      <c r="F37" s="68">
        <v>0.4</v>
      </c>
      <c r="G37" s="68">
        <v>0.9</v>
      </c>
      <c r="H37" s="68">
        <v>0.65</v>
      </c>
      <c r="I37" s="69">
        <v>427.4</v>
      </c>
      <c r="J37" s="70">
        <v>12112</v>
      </c>
      <c r="K37" s="71">
        <f>IF(J37="-",0,I37*J37)</f>
        <v>5176668.8</v>
      </c>
      <c r="L37" s="72">
        <f>IF(H37="-","-",K37*H37)</f>
        <v>3364834.72</v>
      </c>
      <c r="M37" s="73">
        <f>IF($H37="-","-",(($K37/(-0.8+1)*((1/(1-$H37))^(-0.8+1)-1))))</f>
        <v>6047233.657405632</v>
      </c>
      <c r="N37" s="73">
        <f>IF($H37="-","-",(($K37/(-1.2+1)*((1/(1-$H37))^(-1.2+1)-1))))</f>
        <v>4901966.719249313</v>
      </c>
      <c r="O37" s="57"/>
    </row>
    <row r="38" spans="1:15" ht="29.25">
      <c r="A38" s="85" t="s">
        <v>175</v>
      </c>
      <c r="B38" s="85" t="s">
        <v>176</v>
      </c>
      <c r="C38" s="86" t="s">
        <v>174</v>
      </c>
      <c r="D38" s="87" t="s">
        <v>48</v>
      </c>
      <c r="E38" s="88" t="s">
        <v>68</v>
      </c>
      <c r="F38" s="89">
        <f>IF(E38="No aumenta",0,IF(E38="Pequeña",0,IF(E38="Moderada",0.1,IF(E38="Grande",0.4,IF(E38="Esencial",0.9,"-")))))</f>
        <v>0</v>
      </c>
      <c r="G38" s="89">
        <f>IF(E38="No aumenta",0,IF(E38="Pequeña",0.1,IF(E38="Moderada",0.4,IF(E38="Grande",0.9,IF(E38="Esencial",1,"-")))))</f>
        <v>0</v>
      </c>
      <c r="H38" s="89">
        <f>IF(F38="-","-",AVERAGE(F38:G38))</f>
        <v>0</v>
      </c>
      <c r="I38" s="90">
        <v>1847.6</v>
      </c>
      <c r="J38" s="91">
        <v>392</v>
      </c>
      <c r="K38" s="92">
        <f>IF(J38="-",0,I38*J38)</f>
        <v>724259.2</v>
      </c>
      <c r="L38" s="93">
        <f>IF(H38="-","-",K38*H38)</f>
        <v>0</v>
      </c>
      <c r="M38" s="94">
        <f>IF($H38="-","-",(($K38/(-0.8+1)*((1/(1-$H38))^(-0.8+1)-1))))</f>
        <v>0</v>
      </c>
      <c r="N38" s="94">
        <f>IF($H38="-","-",(($K38/(-1.2+1)*((1/(1-$H38))^(-1.2+1)-1))))</f>
        <v>0</v>
      </c>
      <c r="O38" s="57"/>
    </row>
    <row r="39" spans="1:15" ht="29.25">
      <c r="A39" s="64" t="s">
        <v>177</v>
      </c>
      <c r="B39" s="64" t="s">
        <v>178</v>
      </c>
      <c r="C39" s="65" t="s">
        <v>179</v>
      </c>
      <c r="D39" s="66" t="s">
        <v>40</v>
      </c>
      <c r="E39" s="67" t="s">
        <v>35</v>
      </c>
      <c r="F39" s="68">
        <v>0.4</v>
      </c>
      <c r="G39" s="68">
        <v>0.9</v>
      </c>
      <c r="H39" s="68">
        <v>0.65</v>
      </c>
      <c r="I39" s="69">
        <v>471.3</v>
      </c>
      <c r="J39" s="70">
        <v>9817</v>
      </c>
      <c r="K39" s="71">
        <f>IF(J39="-",0,I39*J39)</f>
        <v>4626752.100000001</v>
      </c>
      <c r="L39" s="72">
        <f>IF(H39="-","-",K39*H39)</f>
        <v>3007388.8650000007</v>
      </c>
      <c r="M39" s="73">
        <f>IF($H39="-","-",(($K39/(-0.8+1)*((1/(1-$H39))^(-0.8+1)-1))))</f>
        <v>5404836.991617504</v>
      </c>
      <c r="N39" s="73">
        <f>IF($H39="-","-",(($K39/(-1.2+1)*((1/(1-$H39))^(-1.2+1)-1))))</f>
        <v>4381231.577422313</v>
      </c>
      <c r="O39" s="57"/>
    </row>
    <row r="40" spans="1:15" ht="29.25">
      <c r="A40" s="183" t="s">
        <v>180</v>
      </c>
      <c r="B40" s="183" t="s">
        <v>181</v>
      </c>
      <c r="C40" s="184" t="s">
        <v>182</v>
      </c>
      <c r="D40" s="101" t="s">
        <v>54</v>
      </c>
      <c r="E40" s="185" t="s">
        <v>62</v>
      </c>
      <c r="F40" s="186" t="s">
        <v>63</v>
      </c>
      <c r="G40" s="186" t="s">
        <v>63</v>
      </c>
      <c r="H40" s="186" t="s">
        <v>63</v>
      </c>
      <c r="I40" s="187">
        <v>212.7</v>
      </c>
      <c r="J40" s="188">
        <v>454485</v>
      </c>
      <c r="K40" s="189">
        <f>IF(J40="-",0,I40*J40)</f>
        <v>96668959.5</v>
      </c>
      <c r="L40" s="190" t="str">
        <f>IF(H40="-","-",K40*H40)</f>
        <v>-</v>
      </c>
      <c r="M40" s="191" t="str">
        <f>IF($H40="-","-",(($K40/(-0.8+1)*((1/(1-$H40))^(-0.8+1)-1))))</f>
        <v>-</v>
      </c>
      <c r="N40" s="191" t="str">
        <f>IF($H40="-","-",(($K40/(-1.2+1)*((1/(1-$H40))^(-1.2+1)-1))))</f>
        <v>-</v>
      </c>
      <c r="O40" s="57"/>
    </row>
    <row r="41" spans="1:15" ht="56.25">
      <c r="A41" s="85" t="s">
        <v>183</v>
      </c>
      <c r="B41" s="85" t="s">
        <v>184</v>
      </c>
      <c r="C41" s="86" t="s">
        <v>185</v>
      </c>
      <c r="D41" s="87" t="s">
        <v>48</v>
      </c>
      <c r="E41" s="88" t="s">
        <v>130</v>
      </c>
      <c r="F41" s="89">
        <f>IF(E41="No aumenta",0,IF(E41="Pequeña",0,IF(E41="Moderada",0.1,IF(E41="Grande",0.4,IF(E41="Esencial",0.9,"-")))))</f>
        <v>0.9</v>
      </c>
      <c r="G41" s="89">
        <f>IF(E41="No aumenta",0,IF(E41="Pequeña",0.1,IF(E41="Moderada",0.4,IF(E41="Grande",0.9,IF(E41="Esencial",1,"-")))))</f>
        <v>1</v>
      </c>
      <c r="H41" s="89">
        <f>IF(F41="-","-",AVERAGE(F41:G41))</f>
        <v>0.95</v>
      </c>
      <c r="I41" s="90">
        <v>333.5</v>
      </c>
      <c r="J41" s="91">
        <v>4864</v>
      </c>
      <c r="K41" s="92">
        <f>IF(J41="-",0,I41*J41)</f>
        <v>1622144</v>
      </c>
      <c r="L41" s="93">
        <f>IF(H41="-","-",K41*H41)</f>
        <v>1541036.7999999998</v>
      </c>
      <c r="M41" s="94">
        <f>IF($H41="-","-",(($K41/(-0.8+1)*((1/(1-$H41))^(-0.8+1)-1))))</f>
        <v>6655366.492767688</v>
      </c>
      <c r="N41" s="94">
        <f>IF($H41="-","-",(($K41/(-1.2+1)*((1/(1-$H41))^(-1.2+1)-1))))</f>
        <v>3655661.515098102</v>
      </c>
      <c r="O41" s="57"/>
    </row>
    <row r="42" spans="1:15" ht="16.5">
      <c r="A42" s="64" t="s">
        <v>186</v>
      </c>
      <c r="B42" s="64" t="s">
        <v>187</v>
      </c>
      <c r="C42" s="192" t="s">
        <v>188</v>
      </c>
      <c r="D42" s="66" t="s">
        <v>40</v>
      </c>
      <c r="E42" s="67" t="s">
        <v>35</v>
      </c>
      <c r="F42" s="68">
        <v>0.4</v>
      </c>
      <c r="G42" s="68">
        <v>0.9</v>
      </c>
      <c r="H42" s="68">
        <v>0.65</v>
      </c>
      <c r="I42" s="69">
        <v>316.1</v>
      </c>
      <c r="J42" s="70">
        <v>136</v>
      </c>
      <c r="K42" s="71">
        <f>IF(J42="-",0,I42*J42)</f>
        <v>42989.600000000006</v>
      </c>
      <c r="L42" s="72">
        <f>IF(H42="-","-",K42*H42)</f>
        <v>27943.240000000005</v>
      </c>
      <c r="M42" s="73">
        <f>IF($H42="-","-",(($K42/(-0.8+1)*((1/(1-$H42))^(-0.8+1)-1))))</f>
        <v>50219.19811412413</v>
      </c>
      <c r="N42" s="73">
        <f>IF($H42="-","-",(($K42/(-1.2+1)*((1/(1-$H42))^(-1.2+1)-1))))</f>
        <v>40708.33901404709</v>
      </c>
      <c r="O42" s="57"/>
    </row>
    <row r="43" spans="1:15" ht="16.5">
      <c r="A43" s="119" t="s">
        <v>198</v>
      </c>
      <c r="B43" s="119" t="s">
        <v>199</v>
      </c>
      <c r="C43" s="120" t="s">
        <v>200</v>
      </c>
      <c r="D43" s="121" t="s">
        <v>36</v>
      </c>
      <c r="E43" s="122" t="s">
        <v>68</v>
      </c>
      <c r="F43" s="123">
        <f>IF(E43="No aumenta",0,IF(E43="Pequeña",0,IF(E43="Moderada",0.1,IF(E43="Grande",0.4,IF(E43="Esencial",0.9,"-")))))</f>
        <v>0</v>
      </c>
      <c r="G43" s="123">
        <f>IF(E43="No aumenta",0,IF(E43="Pequeña",0.1,IF(E43="Moderada",0.4,IF(E43="Grande",0.9,IF(E43="Esencial",1,"-")))))</f>
        <v>0</v>
      </c>
      <c r="H43" s="123">
        <f>IF(F43="-","-",AVERAGE(F43:G43))</f>
        <v>0</v>
      </c>
      <c r="I43" s="124">
        <v>183.6</v>
      </c>
      <c r="J43" s="125">
        <v>8544</v>
      </c>
      <c r="K43" s="126">
        <f>IF(J43="-",0,I43*J43)</f>
        <v>1568678.4</v>
      </c>
      <c r="L43" s="127">
        <f>IF(H43="-","-",K43*H43)</f>
        <v>0</v>
      </c>
      <c r="M43" s="128">
        <f>IF($H43="-","-",(($K43/(-0.8+1)*((1/(1-$H43))^(-0.8+1)-1))))</f>
        <v>0</v>
      </c>
      <c r="N43" s="128">
        <f>IF($H43="-","-",(($K43/(-1.2+1)*((1/(1-$H43))^(-1.2+1)-1))))</f>
        <v>0</v>
      </c>
      <c r="O43" s="57"/>
    </row>
    <row r="44" spans="1:15" ht="16.5">
      <c r="A44" s="85" t="s">
        <v>213</v>
      </c>
      <c r="B44" s="85" t="s">
        <v>214</v>
      </c>
      <c r="C44" s="86" t="s">
        <v>215</v>
      </c>
      <c r="D44" s="87" t="s">
        <v>48</v>
      </c>
      <c r="E44" s="88" t="s">
        <v>68</v>
      </c>
      <c r="F44" s="89">
        <v>0</v>
      </c>
      <c r="G44" s="89">
        <v>0</v>
      </c>
      <c r="H44" s="89">
        <v>0</v>
      </c>
      <c r="I44" s="90">
        <v>508.7</v>
      </c>
      <c r="J44" s="91">
        <v>92</v>
      </c>
      <c r="K44" s="92">
        <f>IF(J44="-",0,I44*J44)</f>
        <v>46800.4</v>
      </c>
      <c r="L44" s="93">
        <f>IF(H44="-","-",K44*H44)</f>
        <v>0</v>
      </c>
      <c r="M44" s="94">
        <f>IF($H44="-","-",(($K44/(-0.8+1)*((1/(1-$H44))^(-0.8+1)-1))))</f>
        <v>0</v>
      </c>
      <c r="N44" s="94">
        <f>IF($H44="-","-",(($K44/(-1.2+1)*((1/(1-$H44))^(-1.2+1)-1))))</f>
        <v>0</v>
      </c>
      <c r="O44" s="57"/>
    </row>
    <row r="45" spans="1:15" ht="29.25">
      <c r="A45" s="64" t="s">
        <v>247</v>
      </c>
      <c r="B45" s="64" t="s">
        <v>217</v>
      </c>
      <c r="C45" s="65" t="s">
        <v>218</v>
      </c>
      <c r="D45" s="66" t="s">
        <v>40</v>
      </c>
      <c r="E45" s="67" t="s">
        <v>79</v>
      </c>
      <c r="F45" s="68">
        <f>IF(E45="No aumenta",0,IF(E45="Pequeña",0,IF(E45="Moderada",0.1,IF(E45="Grande",0.4,IF(E45="Esencial",0.9,"-")))))</f>
        <v>0.1</v>
      </c>
      <c r="G45" s="68">
        <f>IF(E45="No aumenta",0,IF(E45="Pequeña",0.1,IF(E45="Moderada",0.4,IF(E45="Grande",0.9,IF(E45="Esencial",1,"-")))))</f>
        <v>0.4</v>
      </c>
      <c r="H45" s="68">
        <f>IF(F45="-","-",AVERAGE(F45:G45))</f>
        <v>0.25</v>
      </c>
      <c r="I45" s="69">
        <v>1310.8</v>
      </c>
      <c r="J45" s="70">
        <v>3300</v>
      </c>
      <c r="K45" s="71">
        <f>IF(J45="-",0,I45*J45)</f>
        <v>4325640</v>
      </c>
      <c r="L45" s="72">
        <f>IF(H45="-","-",K45*H45)</f>
        <v>1081410</v>
      </c>
      <c r="M45" s="73">
        <f>IF($H45="-","-",(($K45/(-0.8+1)*((1/(1-$H45))^(-0.8+1)-1))))</f>
        <v>1280905.0789719198</v>
      </c>
      <c r="N45" s="73">
        <f>IF($H45="-","-",(($K45/(-1.2+1)*((1/(1-$H45))^(-1.2+1)-1))))</f>
        <v>1209286.4882116013</v>
      </c>
      <c r="O45" s="57"/>
    </row>
    <row r="46" spans="1:15" ht="96">
      <c r="A46" s="64" t="s">
        <v>228</v>
      </c>
      <c r="B46" s="64" t="s">
        <v>229</v>
      </c>
      <c r="C46" s="65" t="s">
        <v>230</v>
      </c>
      <c r="D46" s="66" t="s">
        <v>40</v>
      </c>
      <c r="E46" s="67" t="s">
        <v>72</v>
      </c>
      <c r="F46" s="68">
        <v>0</v>
      </c>
      <c r="G46" s="68">
        <v>0.1</v>
      </c>
      <c r="H46" s="68">
        <v>0.05</v>
      </c>
      <c r="I46" s="69">
        <v>240.6</v>
      </c>
      <c r="J46" s="70">
        <v>239</v>
      </c>
      <c r="K46" s="71">
        <f>IF(J46="-",0,I46*J46)</f>
        <v>57503.4</v>
      </c>
      <c r="L46" s="72">
        <f>IF(H46="-","-",K46*H46)</f>
        <v>2875.17</v>
      </c>
      <c r="M46" s="73">
        <f>IF($H46="-","-",(($K46/(-0.8+1)*((1/(1-$H46))^(-0.8+1)-1))))</f>
        <v>2964.7198487150313</v>
      </c>
      <c r="N46" s="73">
        <f>IF($H46="-","-",(($K46/(-1.2+1)*((1/(1-$H46))^(-1.2+1)-1))))</f>
        <v>2934.4612707021265</v>
      </c>
      <c r="O46" s="57"/>
    </row>
    <row r="47" spans="1:15" ht="16.5">
      <c r="A47" s="85" t="s">
        <v>231</v>
      </c>
      <c r="B47" s="85" t="s">
        <v>232</v>
      </c>
      <c r="C47" s="86" t="s">
        <v>233</v>
      </c>
      <c r="D47" s="87" t="s">
        <v>48</v>
      </c>
      <c r="E47" s="88" t="s">
        <v>72</v>
      </c>
      <c r="F47" s="89">
        <v>0</v>
      </c>
      <c r="G47" s="89">
        <v>0.1</v>
      </c>
      <c r="H47" s="89">
        <v>0.05</v>
      </c>
      <c r="I47" s="90">
        <v>440.6</v>
      </c>
      <c r="J47" s="91">
        <v>116492</v>
      </c>
      <c r="K47" s="92">
        <f>IF(J47="-",0,I47*J47)</f>
        <v>51326375.2</v>
      </c>
      <c r="L47" s="93">
        <f>IF(H47="-","-",K47*H47)</f>
        <v>2566318.7600000002</v>
      </c>
      <c r="M47" s="94">
        <f>IF($H47="-","-",(($K47/(-0.8+1)*((1/(1-$H47))^(-0.8+1)-1))))</f>
        <v>2646249.1490596198</v>
      </c>
      <c r="N47" s="94">
        <f>IF($H47="-","-",(($K47/(-1.2+1)*((1/(1-$H47))^(-1.2+1)-1))))</f>
        <v>2619240.952533696</v>
      </c>
      <c r="O47" s="57"/>
    </row>
    <row r="48" spans="1:15" ht="29.25">
      <c r="A48" s="47" t="s">
        <v>234</v>
      </c>
      <c r="B48" s="47" t="s">
        <v>235</v>
      </c>
      <c r="C48" s="48" t="s">
        <v>236</v>
      </c>
      <c r="D48" s="49" t="s">
        <v>34</v>
      </c>
      <c r="E48" s="50" t="s">
        <v>68</v>
      </c>
      <c r="F48" s="51" t="s">
        <v>63</v>
      </c>
      <c r="G48" s="51" t="s">
        <v>63</v>
      </c>
      <c r="H48" s="51" t="s">
        <v>63</v>
      </c>
      <c r="I48" s="157">
        <v>2087.7</v>
      </c>
      <c r="J48" s="158">
        <v>2409</v>
      </c>
      <c r="K48" s="54">
        <f>IF(J48="-",0,I48*J48)</f>
        <v>5029269.3</v>
      </c>
      <c r="L48" s="55" t="str">
        <f>IF(H48="-","-",K48*H48)</f>
        <v>-</v>
      </c>
      <c r="M48" s="56" t="str">
        <f>IF($H48="-","-",(($K48/(-0.8+1)*((1/(1-$H48))^(-0.8+1)-1))))</f>
        <v>-</v>
      </c>
      <c r="N48" s="56" t="str">
        <f>IF($H48="-","-",(($K48/(-1.2+1)*((1/(1-$H48))^(-1.2+1)-1))))</f>
        <v>-</v>
      </c>
      <c r="O48" s="57"/>
    </row>
    <row r="49" spans="1:15" ht="29.25">
      <c r="A49" s="119" t="s">
        <v>240</v>
      </c>
      <c r="B49" s="119" t="s">
        <v>241</v>
      </c>
      <c r="C49" s="120" t="s">
        <v>242</v>
      </c>
      <c r="D49" s="121" t="s">
        <v>36</v>
      </c>
      <c r="E49" s="122" t="s">
        <v>68</v>
      </c>
      <c r="F49" s="123">
        <v>0</v>
      </c>
      <c r="G49" s="123">
        <v>0</v>
      </c>
      <c r="H49" s="123">
        <v>0</v>
      </c>
      <c r="I49" s="124">
        <v>230.1</v>
      </c>
      <c r="J49" s="125">
        <v>45542</v>
      </c>
      <c r="K49" s="126">
        <f>IF(J49="-",0,I49*J49)</f>
        <v>10479214.2</v>
      </c>
      <c r="L49" s="127">
        <f>IF(H49="-","-",K49*H49)</f>
        <v>0</v>
      </c>
      <c r="M49" s="128">
        <f>IF($H49="-","-",(($K49/(-0.8+1)*((1/(1-$H49))^(-0.8+1)-1))))</f>
        <v>0</v>
      </c>
      <c r="N49" s="128">
        <f>IF($H49="-","-",(($K49/(-1.2+1)*((1/(1-$H49))^(-1.2+1)-1))))</f>
        <v>0</v>
      </c>
      <c r="O49" s="57"/>
    </row>
    <row r="50" spans="9:14" ht="16.5">
      <c r="I50" s="205"/>
      <c r="J50" s="206"/>
      <c r="K50" s="207"/>
      <c r="L50" s="208"/>
      <c r="M50" s="209"/>
      <c r="N50" s="209"/>
    </row>
    <row r="51" spans="1:14" ht="30" customHeight="1">
      <c r="A51" s="210" t="s">
        <v>243</v>
      </c>
      <c r="B51" s="210" t="s">
        <v>248</v>
      </c>
      <c r="C51" s="210"/>
      <c r="D51" s="210"/>
      <c r="E51" s="210"/>
      <c r="F51" s="211">
        <f>AVERAGE(F9:F49)</f>
        <v>0.16875</v>
      </c>
      <c r="G51" s="211">
        <f>AVERAGE(G9:G49)</f>
        <v>0.359375</v>
      </c>
      <c r="H51" s="211">
        <f>AVERAGE(H9:H49)</f>
        <v>0.26406250000000003</v>
      </c>
      <c r="I51" s="212">
        <f>AVERAGE(I9:I49)</f>
        <v>685.0560975609753</v>
      </c>
      <c r="J51" s="213">
        <f>AVERAGE(J9:J49)</f>
        <v>38454.90243902439</v>
      </c>
      <c r="K51" s="214">
        <f>SUM(K9:K49)</f>
        <v>793994962.3000001</v>
      </c>
      <c r="L51" s="215">
        <f>SUM(L9:L49)</f>
        <v>130799668.16999999</v>
      </c>
      <c r="M51" s="216">
        <f>SUM(M9:M49)</f>
        <v>226776221.7592098</v>
      </c>
      <c r="N51" s="216">
        <f>SUM(N9:N49)</f>
        <v>179098971.22752383</v>
      </c>
    </row>
  </sheetData>
  <sheetProtection selectLockedCells="1" selectUnlockedCells="1"/>
  <mergeCells count="10">
    <mergeCell ref="A2:N2"/>
    <mergeCell ref="A3:N3"/>
    <mergeCell ref="P3:V3"/>
    <mergeCell ref="F4:H4"/>
    <mergeCell ref="I4:N4"/>
    <mergeCell ref="M5:N5"/>
    <mergeCell ref="U5:V5"/>
    <mergeCell ref="B6:D6"/>
    <mergeCell ref="E6:H6"/>
    <mergeCell ref="A51:E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41"/>
  <sheetViews>
    <sheetView zoomScale="90" zoomScaleNormal="90" workbookViewId="0" topLeftCell="A4">
      <selection activeCell="E10" activeCellId="1" sqref="A9:A63 E10"/>
    </sheetView>
  </sheetViews>
  <sheetFormatPr defaultColWidth="11.00390625" defaultRowHeight="12.75"/>
  <cols>
    <col min="1" max="1" width="10.75390625" style="1" customWidth="1"/>
    <col min="2" max="2" width="14.00390625" style="2" customWidth="1"/>
    <col min="3" max="3" width="40.75390625" style="3" customWidth="1"/>
    <col min="4" max="4" width="12.75390625" style="1" customWidth="1"/>
    <col min="5" max="5" width="11.75390625" style="4" customWidth="1"/>
    <col min="6" max="8" width="10.75390625" style="4" customWidth="1"/>
    <col min="9" max="9" width="14.625" style="1" customWidth="1"/>
    <col min="10" max="10" width="14.00390625" style="1" customWidth="1"/>
    <col min="11" max="11" width="16.875" style="5" customWidth="1"/>
    <col min="12" max="12" width="15.75390625" style="6" customWidth="1"/>
    <col min="13" max="14" width="15.75390625" style="7" customWidth="1"/>
    <col min="15" max="15" width="10.75390625" style="1" customWidth="1"/>
    <col min="16" max="16" width="12.375" style="1" customWidth="1"/>
    <col min="17" max="17" width="14.125" style="1" customWidth="1"/>
    <col min="18" max="18" width="24.75390625" style="1" customWidth="1"/>
    <col min="19" max="19" width="21.25390625" style="1" customWidth="1"/>
    <col min="20" max="20" width="14.125" style="1" customWidth="1"/>
    <col min="21" max="22" width="18.75390625" style="1" customWidth="1"/>
    <col min="23" max="245" width="10.75390625" style="1" customWidth="1"/>
    <col min="246" max="16384" width="10.75390625" style="0" customWidth="1"/>
  </cols>
  <sheetData>
    <row r="1" spans="2:14" s="8" customFormat="1" ht="12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36.75" customHeight="1">
      <c r="A2" s="244" t="s">
        <v>249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22" s="11" customFormat="1" ht="60.75" customHeight="1">
      <c r="A3" s="244" t="s">
        <v>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P3" s="12" t="s">
        <v>2</v>
      </c>
      <c r="Q3" s="12"/>
      <c r="R3" s="12"/>
      <c r="S3" s="12"/>
      <c r="T3" s="12"/>
      <c r="U3" s="12"/>
      <c r="V3" s="12"/>
    </row>
    <row r="4" spans="6:246" ht="61.5" customHeight="1">
      <c r="F4" s="13" t="s">
        <v>3</v>
      </c>
      <c r="G4" s="13"/>
      <c r="H4" s="13"/>
      <c r="I4" s="14" t="s">
        <v>4</v>
      </c>
      <c r="J4" s="14"/>
      <c r="K4" s="14"/>
      <c r="L4" s="14"/>
      <c r="M4" s="14"/>
      <c r="N4" s="14"/>
      <c r="IL4" s="1"/>
    </row>
    <row r="5" spans="1:246" ht="78.75" customHeight="1">
      <c r="A5" s="15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8" t="s">
        <v>11</v>
      </c>
      <c r="H5" s="17" t="s">
        <v>12</v>
      </c>
      <c r="I5" s="19" t="s">
        <v>13</v>
      </c>
      <c r="J5" s="19" t="s">
        <v>14</v>
      </c>
      <c r="K5" s="20" t="s">
        <v>15</v>
      </c>
      <c r="L5" s="21" t="s">
        <v>16</v>
      </c>
      <c r="M5" s="22" t="s">
        <v>17</v>
      </c>
      <c r="N5" s="22"/>
      <c r="P5" s="16" t="s">
        <v>8</v>
      </c>
      <c r="Q5" s="23" t="s">
        <v>18</v>
      </c>
      <c r="R5" s="20" t="s">
        <v>15</v>
      </c>
      <c r="S5" s="21" t="s">
        <v>16</v>
      </c>
      <c r="T5" s="24" t="s">
        <v>19</v>
      </c>
      <c r="U5" s="22" t="s">
        <v>17</v>
      </c>
      <c r="V5" s="22"/>
      <c r="IL5" s="1"/>
    </row>
    <row r="6" spans="1:246" ht="47.25" customHeight="1">
      <c r="A6" s="25"/>
      <c r="B6" s="26" t="s">
        <v>20</v>
      </c>
      <c r="C6" s="26"/>
      <c r="D6" s="26"/>
      <c r="E6" s="27" t="s">
        <v>21</v>
      </c>
      <c r="F6" s="27"/>
      <c r="G6" s="27"/>
      <c r="H6" s="27"/>
      <c r="I6" s="28" t="s">
        <v>20</v>
      </c>
      <c r="J6" s="28" t="s">
        <v>22</v>
      </c>
      <c r="K6" s="29" t="s">
        <v>23</v>
      </c>
      <c r="L6" s="30" t="s">
        <v>24</v>
      </c>
      <c r="M6" s="31">
        <v>-0.8</v>
      </c>
      <c r="N6" s="31">
        <v>-1.2</v>
      </c>
      <c r="P6" s="32"/>
      <c r="Q6" s="33" t="s">
        <v>25</v>
      </c>
      <c r="R6" s="29" t="s">
        <v>23</v>
      </c>
      <c r="S6" s="30" t="s">
        <v>26</v>
      </c>
      <c r="T6" s="34" t="s">
        <v>27</v>
      </c>
      <c r="U6" s="31">
        <v>-0.8</v>
      </c>
      <c r="V6" s="31">
        <v>-1.2</v>
      </c>
      <c r="IL6" s="1"/>
    </row>
    <row r="7" spans="2:246" ht="27.75" customHeight="1">
      <c r="B7" s="35"/>
      <c r="C7" s="36"/>
      <c r="D7" s="37"/>
      <c r="E7" s="38"/>
      <c r="F7" s="39"/>
      <c r="G7" s="39"/>
      <c r="H7" s="39"/>
      <c r="I7" s="19" t="s">
        <v>28</v>
      </c>
      <c r="J7" s="19" t="s">
        <v>29</v>
      </c>
      <c r="K7" s="40" t="s">
        <v>30</v>
      </c>
      <c r="L7" s="41" t="s">
        <v>30</v>
      </c>
      <c r="M7" s="42" t="s">
        <v>30</v>
      </c>
      <c r="N7" s="42" t="s">
        <v>30</v>
      </c>
      <c r="P7" s="43"/>
      <c r="Q7" s="19"/>
      <c r="R7" s="40"/>
      <c r="S7" s="41"/>
      <c r="T7" s="44"/>
      <c r="U7" s="42"/>
      <c r="V7" s="42"/>
      <c r="IL7" s="1"/>
    </row>
    <row r="8" spans="2:246" ht="16.5">
      <c r="B8" s="35"/>
      <c r="C8" s="36"/>
      <c r="D8" s="37"/>
      <c r="E8" s="38"/>
      <c r="F8" s="39"/>
      <c r="G8" s="39"/>
      <c r="H8" s="39"/>
      <c r="I8" s="19"/>
      <c r="J8" s="19"/>
      <c r="K8" s="40"/>
      <c r="L8" s="41"/>
      <c r="M8" s="42"/>
      <c r="N8" s="42"/>
      <c r="P8" s="43"/>
      <c r="Q8" s="43"/>
      <c r="R8" s="40"/>
      <c r="S8" s="45"/>
      <c r="T8" s="44"/>
      <c r="U8" s="46"/>
      <c r="V8" s="46"/>
      <c r="IL8" s="1"/>
    </row>
    <row r="9" spans="1:22" ht="16.5">
      <c r="A9" s="64" t="s">
        <v>37</v>
      </c>
      <c r="B9" s="64" t="s">
        <v>38</v>
      </c>
      <c r="C9" s="65" t="s">
        <v>39</v>
      </c>
      <c r="D9" s="66" t="s">
        <v>40</v>
      </c>
      <c r="E9" s="67" t="s">
        <v>35</v>
      </c>
      <c r="F9" s="68">
        <v>0.4</v>
      </c>
      <c r="G9" s="68">
        <v>0.9</v>
      </c>
      <c r="H9" s="68">
        <v>0.65</v>
      </c>
      <c r="I9" s="69">
        <v>342.2</v>
      </c>
      <c r="J9" s="70">
        <v>31211</v>
      </c>
      <c r="K9" s="71">
        <f>IF(J9="-",0,I9*J9)</f>
        <v>10680404.2</v>
      </c>
      <c r="L9" s="72">
        <f>IF(H9="-","-",K9*H9)</f>
        <v>6942262.7299999995</v>
      </c>
      <c r="M9" s="73">
        <f>IF($H9="-","-",(($K9/(-0.8+1)*((1/(1-$H9))^(-0.8+1)-1))))</f>
        <v>12476536.98705555</v>
      </c>
      <c r="N9" s="73">
        <f>IF($H9="-","-",(($K9/(-1.2+1)*((1/(1-$H9))^(-1.2+1)-1))))</f>
        <v>10113644.113475172</v>
      </c>
      <c r="O9" s="57"/>
      <c r="P9" s="58" t="s">
        <v>36</v>
      </c>
      <c r="Q9" s="59">
        <f>SUMIF($D$9:$D$39,$P9,$K$9:$K$39)/SUMIF($D$9:$D$39,$P9,$J$9:$J$39)</f>
        <v>214.89418181818183</v>
      </c>
      <c r="R9" s="217">
        <f>SUMIF($D$9:$D$39,$P9,$K$9:$K$39)</f>
        <v>177287.7</v>
      </c>
      <c r="S9" s="218">
        <f>SUMIF($D$9:$D$39,$P9,$L$9:$L$39)</f>
        <v>0</v>
      </c>
      <c r="T9" s="62">
        <f>IF(R9=0,"-",S9/R9)</f>
        <v>0</v>
      </c>
      <c r="U9" s="219">
        <f>SUMIF($D$9:$D$39,$P9,$M$9:$M$39)</f>
        <v>0</v>
      </c>
      <c r="V9" s="219">
        <f>SUMIF($D$9:$D$39,$P9,$N$9:$N$39)</f>
        <v>0</v>
      </c>
    </row>
    <row r="10" spans="1:22" ht="42.75">
      <c r="A10" s="134" t="s">
        <v>69</v>
      </c>
      <c r="B10" s="134" t="s">
        <v>70</v>
      </c>
      <c r="C10" s="135" t="s">
        <v>71</v>
      </c>
      <c r="D10" s="95" t="s">
        <v>50</v>
      </c>
      <c r="E10" s="136" t="s">
        <v>72</v>
      </c>
      <c r="F10" s="137">
        <v>0</v>
      </c>
      <c r="G10" s="137">
        <v>0.1</v>
      </c>
      <c r="H10" s="137">
        <v>0.05</v>
      </c>
      <c r="I10" s="138">
        <v>1857.6</v>
      </c>
      <c r="J10" s="139">
        <v>691</v>
      </c>
      <c r="K10" s="140">
        <f>IF(J10="-",0,I10*J10)</f>
        <v>1283601.5999999999</v>
      </c>
      <c r="L10" s="141">
        <f>IF(H10="-","-",K10*H10)</f>
        <v>64180.079999999994</v>
      </c>
      <c r="M10" s="142">
        <f>IF($H10="-","-",(($K10/(-0.8+1)*((1/(1-$H10))^(-0.8+1)-1))))</f>
        <v>66179.02839418837</v>
      </c>
      <c r="N10" s="142">
        <f>IF($H10="-","-",(($K10/(-1.2+1)*((1/(1-$H10))^(-1.2+1)-1))))</f>
        <v>65503.59078265429</v>
      </c>
      <c r="O10" s="57"/>
      <c r="P10" s="66" t="s">
        <v>40</v>
      </c>
      <c r="Q10" s="74">
        <f>SUMIF($D$9:$D$39,$P10,$K$9:$K$39)/SUMIF($D$9:$D$39,$P10,$J$9:$J$39)</f>
        <v>373.9743794807346</v>
      </c>
      <c r="R10" s="220">
        <f>SUMIF($D$9:$D$39,$P10,$K$9:$K$39)</f>
        <v>13093217</v>
      </c>
      <c r="S10" s="221">
        <f>SUMIF($D$9:$D$39,$P10,$L$9:$L$39)</f>
        <v>8847317.29</v>
      </c>
      <c r="T10" s="77">
        <f>IF(R10=0,"-",S10/R10)</f>
        <v>0.675717609354523</v>
      </c>
      <c r="U10" s="222">
        <f>SUMIF($D$9:$D$39,$P10,$M$9:$M$39)</f>
        <v>19609384.65686503</v>
      </c>
      <c r="V10" s="222">
        <f>SUMIF($D$9:$D$39,$P10,$N$9:$N$39)</f>
        <v>14233258.99321744</v>
      </c>
    </row>
    <row r="11" spans="1:22" ht="29.25">
      <c r="A11" s="85" t="s">
        <v>73</v>
      </c>
      <c r="B11" s="85" t="s">
        <v>74</v>
      </c>
      <c r="C11" s="86" t="s">
        <v>75</v>
      </c>
      <c r="D11" s="87" t="s">
        <v>48</v>
      </c>
      <c r="E11" s="88" t="s">
        <v>72</v>
      </c>
      <c r="F11" s="89">
        <v>0</v>
      </c>
      <c r="G11" s="89">
        <v>0.1</v>
      </c>
      <c r="H11" s="89">
        <v>0.05</v>
      </c>
      <c r="I11" s="90">
        <v>1536</v>
      </c>
      <c r="J11" s="91">
        <v>565</v>
      </c>
      <c r="K11" s="92">
        <f>IF(J11="-",0,I11*J11)</f>
        <v>867840</v>
      </c>
      <c r="L11" s="93">
        <f>IF(H11="-","-",K11*H11)</f>
        <v>43392</v>
      </c>
      <c r="M11" s="94">
        <f>IF($H11="-","-",(($K11/(-0.8+1)*((1/(1-$H11))^(-0.8+1)-1))))</f>
        <v>44743.48427238829</v>
      </c>
      <c r="N11" s="94">
        <f>IF($H11="-","-",(($K11/(-1.2+1)*((1/(1-$H11))^(-1.2+1)-1))))</f>
        <v>44286.82250381949</v>
      </c>
      <c r="O11" s="57"/>
      <c r="P11" s="95" t="s">
        <v>50</v>
      </c>
      <c r="Q11" s="96">
        <f>SUMIF($D$9:$D$39,$P11,$K$9:$K$39)/SUMIF($D$9:$D$39,$P11,$J$9:$J$39)</f>
        <v>1857.6</v>
      </c>
      <c r="R11" s="226">
        <f>SUMIF($D$9:$D$39,$P11,$K$9:$K$39)</f>
        <v>1283601.5999999999</v>
      </c>
      <c r="S11" s="227">
        <f>SUMIF($D$9:$D$39,$P11,$L$9:$L$39)</f>
        <v>64180.079999999994</v>
      </c>
      <c r="T11" s="99">
        <f>IF(R11=0,"-",S11/R11)</f>
        <v>0.05</v>
      </c>
      <c r="U11" s="228">
        <f>SUMIF($D$9:$D$39,$P11,$M$9:$M$39)</f>
        <v>66179.02839418837</v>
      </c>
      <c r="V11" s="228">
        <f>SUMIF($D$9:$D$39,$P11,$N$9:$N$39)</f>
        <v>65503.59078265429</v>
      </c>
    </row>
    <row r="12" spans="1:22" ht="42.75">
      <c r="A12" s="85" t="s">
        <v>81</v>
      </c>
      <c r="B12" s="85" t="s">
        <v>82</v>
      </c>
      <c r="C12" s="86" t="s">
        <v>83</v>
      </c>
      <c r="D12" s="87" t="s">
        <v>48</v>
      </c>
      <c r="E12" s="88" t="s">
        <v>49</v>
      </c>
      <c r="F12" s="89" t="str">
        <f>IF(E12="No aumenta",0,IF(E12="Pequeña",0,IF(E12="Moderada",0.1,IF(E12="Grande",0.4,IF(E12="Esencial",0.9,"-")))))</f>
        <v>-</v>
      </c>
      <c r="G12" s="89" t="str">
        <f>IF(E12="No aumenta",0,IF(E12="Pequeña",0.1,IF(E12="Moderada",0.4,IF(E12="Grande",0.9,IF(E12="Esencial",1,"-")))))</f>
        <v>-</v>
      </c>
      <c r="H12" s="89" t="str">
        <f>IF(F12="-","-",AVERAGE(F12:G12))</f>
        <v>-</v>
      </c>
      <c r="I12" s="90">
        <v>247</v>
      </c>
      <c r="J12" s="91">
        <v>1401</v>
      </c>
      <c r="K12" s="92">
        <f>IF(J12="-",0,I12*J12)</f>
        <v>346047</v>
      </c>
      <c r="L12" s="93" t="str">
        <f>IF(H12="-","-",K12*H12)</f>
        <v>-</v>
      </c>
      <c r="M12" s="94" t="str">
        <f>IF($H12="-","-",(($K12/(-0.8+1)*((1/(1-$H12))^(-0.8+1)-1))))</f>
        <v>-</v>
      </c>
      <c r="N12" s="94" t="str">
        <f>IF($H12="-","-",(($K12/(-1.2+1)*((1/(1-$H12))^(-1.2+1)-1))))</f>
        <v>-</v>
      </c>
      <c r="O12" s="57"/>
      <c r="P12" s="101" t="s">
        <v>54</v>
      </c>
      <c r="Q12" s="102">
        <f>SUMIF($D$9:$D$39,$P12,$K$9:$K$39)/SUMIF($D$9:$D$39,$P12,$J$9:$J$39)</f>
        <v>212.7</v>
      </c>
      <c r="R12" s="229">
        <f>SUMIF($D$9:$D$39,$P12,$K$9:$K$39)</f>
        <v>7435992</v>
      </c>
      <c r="S12" s="230">
        <f>SUMIF($D$9:$D$39,$P12,$L$9:$L$39)</f>
        <v>0</v>
      </c>
      <c r="T12" s="105">
        <f>IF(R12=0,"-",S12/R12)</f>
        <v>0</v>
      </c>
      <c r="U12" s="231">
        <f>SUMIF($D$9:$D$39,$P12,$M$9:$M$39)</f>
        <v>0</v>
      </c>
      <c r="V12" s="231">
        <f>SUMIF($D$9:$D$39,$P12,$N$9:$N$39)</f>
        <v>0</v>
      </c>
    </row>
    <row r="13" spans="1:22" ht="42.75">
      <c r="A13" s="85" t="s">
        <v>84</v>
      </c>
      <c r="B13" s="85" t="s">
        <v>85</v>
      </c>
      <c r="C13" s="86" t="s">
        <v>86</v>
      </c>
      <c r="D13" s="87" t="s">
        <v>48</v>
      </c>
      <c r="E13" s="88" t="s">
        <v>49</v>
      </c>
      <c r="F13" s="89" t="str">
        <f>IF(E13="No aumenta",0,IF(E13="Pequeña",0,IF(E13="Moderada",0.1,IF(E13="Grande",0.4,IF(E13="Esencial",0.9,"-")))))</f>
        <v>-</v>
      </c>
      <c r="G13" s="89" t="str">
        <f>IF(E13="No aumenta",0,IF(E13="Pequeña",0.1,IF(E13="Moderada",0.4,IF(E13="Grande",0.9,IF(E13="Esencial",1,"-")))))</f>
        <v>-</v>
      </c>
      <c r="H13" s="89" t="str">
        <f>IF(F13="-","-",AVERAGE(F13:G13))</f>
        <v>-</v>
      </c>
      <c r="I13" s="90">
        <v>283.4</v>
      </c>
      <c r="J13" s="91">
        <v>20</v>
      </c>
      <c r="K13" s="92">
        <f>IF(J13="-",0,I13*J13)</f>
        <v>5668</v>
      </c>
      <c r="L13" s="93" t="str">
        <f>IF(H13="-","-",K13*H13)</f>
        <v>-</v>
      </c>
      <c r="M13" s="94" t="str">
        <f>IF($H13="-","-",(($K13/(-0.8+1)*((1/(1-$H13))^(-0.8+1)-1))))</f>
        <v>-</v>
      </c>
      <c r="N13" s="94" t="str">
        <f>IF($H13="-","-",(($K13/(-1.2+1)*((1/(1-$H13))^(-1.2+1)-1))))</f>
        <v>-</v>
      </c>
      <c r="O13" s="57"/>
      <c r="P13" s="49" t="s">
        <v>34</v>
      </c>
      <c r="Q13" s="129">
        <f>SUMIF($D$9:$D$39,$P13,$K$9:$K$39)/SUMIF($D$9:$D$39,$P13,$J$9:$J$39)</f>
        <v>1870.7689655172414</v>
      </c>
      <c r="R13" s="232">
        <f>SUMIF($D$9:$D$39,$P13,$K$9:$K$39)</f>
        <v>271261.5</v>
      </c>
      <c r="S13" s="233">
        <f>SUMIF($D$9:$D$39,$P13,$L$9:$L$39)</f>
        <v>0</v>
      </c>
      <c r="T13" s="132">
        <f>IF(R13=0,"-",S13/R13)</f>
        <v>0</v>
      </c>
      <c r="U13" s="234">
        <f>SUMIF($D$9:$D$39,$P13,$M$9:$M$39)</f>
        <v>0</v>
      </c>
      <c r="V13" s="234">
        <f>SUMIF($D$9:$D$39,$P13,$N$9:$N$39)</f>
        <v>0</v>
      </c>
    </row>
    <row r="14" spans="1:22" ht="42.75">
      <c r="A14" s="85" t="s">
        <v>250</v>
      </c>
      <c r="B14" s="85" t="s">
        <v>88</v>
      </c>
      <c r="C14" s="86" t="s">
        <v>83</v>
      </c>
      <c r="D14" s="87" t="s">
        <v>48</v>
      </c>
      <c r="E14" s="88" t="s">
        <v>49</v>
      </c>
      <c r="F14" s="89" t="str">
        <f>IF(E14="No aumenta",0,IF(E14="Pequeña",0,IF(E14="Moderada",0.1,IF(E14="Grande",0.4,IF(E14="Esencial",0.9,"-")))))</f>
        <v>-</v>
      </c>
      <c r="G14" s="89" t="str">
        <f>IF(E14="No aumenta",0,IF(E14="Pequeña",0.1,IF(E14="Moderada",0.4,IF(E14="Grande",0.9,IF(E14="Esencial",1,"-")))))</f>
        <v>-</v>
      </c>
      <c r="H14" s="89" t="str">
        <f>IF(F14="-","-",AVERAGE(F14:G14))</f>
        <v>-</v>
      </c>
      <c r="I14" s="90">
        <v>325.3</v>
      </c>
      <c r="J14" s="91">
        <f>90+15</f>
        <v>105</v>
      </c>
      <c r="K14" s="92">
        <f>IF(J14="-",0,I14*J14)</f>
        <v>34156.5</v>
      </c>
      <c r="L14" s="93" t="str">
        <f>IF(H14="-","-",K14*H14)</f>
        <v>-</v>
      </c>
      <c r="M14" s="94" t="str">
        <f>IF($H14="-","-",(($K14/(-0.8+1)*((1/(1-$H14))^(-0.8+1)-1))))</f>
        <v>-</v>
      </c>
      <c r="N14" s="94" t="str">
        <f>IF($H14="-","-",(($K14/(-1.2+1)*((1/(1-$H14))^(-1.2+1)-1))))</f>
        <v>-</v>
      </c>
      <c r="O14" s="57"/>
      <c r="P14" s="87" t="s">
        <v>48</v>
      </c>
      <c r="Q14" s="143">
        <f>SUMIF($D$9:$D$39,$P14,$K$9:$K$39)/SUMIF($D$9:$D$39,$P14,$J$9:$J$39)</f>
        <v>407.4127096131496</v>
      </c>
      <c r="R14" s="235">
        <f>SUMIF($D$9:$D$39,$P14,$K$9:$K$39)</f>
        <v>4907693.5</v>
      </c>
      <c r="S14" s="236">
        <f>SUMIF($D$9:$D$39,$P14,$L$9:$L$39)</f>
        <v>260991.25</v>
      </c>
      <c r="T14" s="146">
        <f>IF(R14=0,"-",S14/R14)</f>
        <v>0.05318002234654629</v>
      </c>
      <c r="U14" s="237">
        <f>SUMIF($D$9:$D$39,$P14,$M$9:$M$39)</f>
        <v>758671.1250628034</v>
      </c>
      <c r="V14" s="237">
        <f>SUMIF($D$9:$D$39,$P14,$N$9:$N$39)</f>
        <v>467635.18612734874</v>
      </c>
    </row>
    <row r="15" spans="1:22" ht="29.25">
      <c r="A15" s="64" t="s">
        <v>246</v>
      </c>
      <c r="B15" s="64" t="s">
        <v>90</v>
      </c>
      <c r="C15" s="65" t="s">
        <v>91</v>
      </c>
      <c r="D15" s="66" t="s">
        <v>40</v>
      </c>
      <c r="E15" s="67" t="s">
        <v>35</v>
      </c>
      <c r="F15" s="68">
        <f>IF(E15="No aumenta",0,IF(E15="Pequeña",0,IF(E15="Moderada",0.1,IF(E15="Grande",0.4,IF(E15="Esencial",0.9,"-")))))</f>
        <v>0.4</v>
      </c>
      <c r="G15" s="68">
        <f>IF(E15="No aumenta",0,IF(E15="Pequeña",0.1,IF(E15="Moderada",0.4,IF(E15="Grande",0.9,IF(E15="Esencial",1,"-")))))</f>
        <v>0.9</v>
      </c>
      <c r="H15" s="68">
        <f>IF(F15="-","-",AVERAGE(F15:G15))</f>
        <v>0.65</v>
      </c>
      <c r="I15" s="69">
        <v>1344.2</v>
      </c>
      <c r="J15" s="70">
        <v>35</v>
      </c>
      <c r="K15" s="71">
        <f>IF(J15="-",0,I15*J15)</f>
        <v>47047</v>
      </c>
      <c r="L15" s="72">
        <f>IF(H15="-","-",K15*H15)</f>
        <v>30580.55</v>
      </c>
      <c r="M15" s="73">
        <f>IF($H15="-","-",(($K15/(-0.8+1)*((1/(1-$H15))^(-0.8+1)-1))))</f>
        <v>54958.93457197083</v>
      </c>
      <c r="N15" s="73">
        <f>IF($H15="-","-",(($K15/(-1.2+1)*((1/(1-$H15))^(-1.2+1)-1))))</f>
        <v>44550.431397218694</v>
      </c>
      <c r="O15" s="57"/>
      <c r="P15" s="57"/>
      <c r="Q15" s="57"/>
      <c r="R15" s="238"/>
      <c r="S15" s="239"/>
      <c r="T15" s="150"/>
      <c r="U15" s="240"/>
      <c r="V15" s="240"/>
    </row>
    <row r="16" spans="1:22" ht="29.25">
      <c r="A16" s="85" t="s">
        <v>101</v>
      </c>
      <c r="B16" s="85" t="s">
        <v>102</v>
      </c>
      <c r="C16" s="86" t="s">
        <v>100</v>
      </c>
      <c r="D16" s="87" t="s">
        <v>48</v>
      </c>
      <c r="E16" s="88" t="s">
        <v>72</v>
      </c>
      <c r="F16" s="89">
        <v>0</v>
      </c>
      <c r="G16" s="89">
        <v>0.1</v>
      </c>
      <c r="H16" s="89">
        <v>0.05</v>
      </c>
      <c r="I16" s="90">
        <v>708.5</v>
      </c>
      <c r="J16" s="91">
        <v>260</v>
      </c>
      <c r="K16" s="92">
        <f>IF(J16="-",0,I16*J16)</f>
        <v>184210</v>
      </c>
      <c r="L16" s="93">
        <f>IF(H16="-","-",K16*H16)</f>
        <v>9210.5</v>
      </c>
      <c r="M16" s="94">
        <f>IF($H16="-","-",(($K16/(-0.8+1)*((1/(1-$H16))^(-0.8+1)-1))))</f>
        <v>9497.369604785037</v>
      </c>
      <c r="N16" s="94">
        <f>IF($H16="-","-",(($K16/(-1.2+1)*((1/(1-$H16))^(-1.2+1)-1))))</f>
        <v>9400.43737719924</v>
      </c>
      <c r="O16" s="57"/>
      <c r="P16" s="152" t="s">
        <v>80</v>
      </c>
      <c r="Q16" s="152"/>
      <c r="R16" s="241">
        <f>SUM(R9:R14)</f>
        <v>27169053.3</v>
      </c>
      <c r="S16" s="242">
        <f>SUM(S9:S14)</f>
        <v>9172488.62</v>
      </c>
      <c r="T16" s="155">
        <f>IF(R16=0,"-",S16/R16)</f>
        <v>0.3376079585371493</v>
      </c>
      <c r="U16" s="243">
        <f>SUM(U9:U14)</f>
        <v>20434234.810322024</v>
      </c>
      <c r="V16" s="243">
        <f>SUM(V9:V14)</f>
        <v>14766397.770127444</v>
      </c>
    </row>
    <row r="17" spans="1:15" ht="16.5">
      <c r="A17" s="64" t="s">
        <v>109</v>
      </c>
      <c r="B17" s="64" t="s">
        <v>110</v>
      </c>
      <c r="C17" s="65" t="s">
        <v>111</v>
      </c>
      <c r="D17" s="66" t="s">
        <v>40</v>
      </c>
      <c r="E17" s="67" t="s">
        <v>79</v>
      </c>
      <c r="F17" s="68">
        <f>IF(E17="No aumenta",0,IF(E17="Pequeña",0,IF(E17="Moderada",0.1,IF(E17="Grande",0.4,IF(E17="Esencial",0.9,"-")))))</f>
        <v>0.1</v>
      </c>
      <c r="G17" s="68">
        <f>IF(E17="No aumenta",0,IF(E17="Pequeña",0.1,IF(E17="Moderada",0.4,IF(E17="Grande",0.9,IF(E17="Esencial",1,"-")))))</f>
        <v>0.4</v>
      </c>
      <c r="H17" s="68">
        <f>IF(F17="-","-",AVERAGE(F17:G17))</f>
        <v>0.25</v>
      </c>
      <c r="I17" s="69">
        <v>1167.4</v>
      </c>
      <c r="J17" s="70">
        <v>40</v>
      </c>
      <c r="K17" s="71">
        <f>IF(J17="-",0,I17*J17)</f>
        <v>46696</v>
      </c>
      <c r="L17" s="72">
        <f>IF(H17="-","-",K17*H17)</f>
        <v>11674</v>
      </c>
      <c r="M17" s="73">
        <f>IF($H17="-","-",(($K17/(-0.8+1)*((1/(1-$H17))^(-0.8+1)-1))))</f>
        <v>13827.58240807667</v>
      </c>
      <c r="N17" s="73">
        <f>IF($H17="-","-",(($K17/(-1.2+1)*((1/(1-$H17))^(-1.2+1)-1))))</f>
        <v>13054.44786286629</v>
      </c>
      <c r="O17" s="57"/>
    </row>
    <row r="18" spans="1:15" ht="29.25">
      <c r="A18" s="85" t="s">
        <v>112</v>
      </c>
      <c r="B18" s="85" t="s">
        <v>113</v>
      </c>
      <c r="C18" s="86" t="s">
        <v>114</v>
      </c>
      <c r="D18" s="87" t="s">
        <v>48</v>
      </c>
      <c r="E18" s="88" t="s">
        <v>62</v>
      </c>
      <c r="F18" s="89" t="s">
        <v>63</v>
      </c>
      <c r="G18" s="89" t="s">
        <v>63</v>
      </c>
      <c r="H18" s="89" t="s">
        <v>63</v>
      </c>
      <c r="I18" s="90">
        <v>1879.1</v>
      </c>
      <c r="J18" s="91">
        <v>240</v>
      </c>
      <c r="K18" s="92">
        <f>IF(J18="-",0,I18*J18)</f>
        <v>450984</v>
      </c>
      <c r="L18" s="93" t="str">
        <f>IF(H18="-","-",K18*H18)</f>
        <v>-</v>
      </c>
      <c r="M18" s="94" t="str">
        <f>IF($H18="-","-",(($K18/(-0.8+1)*((1/(1-$H18))^(-0.8+1)-1))))</f>
        <v>-</v>
      </c>
      <c r="N18" s="94" t="str">
        <f>IF($H18="-","-",(($K18/(-1.2+1)*((1/(1-$H18))^(-1.2+1)-1))))</f>
        <v>-</v>
      </c>
      <c r="O18" s="57"/>
    </row>
    <row r="19" spans="1:15" ht="16.5">
      <c r="A19" s="64" t="s">
        <v>118</v>
      </c>
      <c r="B19" s="64" t="s">
        <v>119</v>
      </c>
      <c r="C19" s="65" t="s">
        <v>120</v>
      </c>
      <c r="D19" s="66" t="s">
        <v>40</v>
      </c>
      <c r="E19" s="67" t="s">
        <v>68</v>
      </c>
      <c r="F19" s="68">
        <f>IF(E19="No aumenta",0,IF(E19="Pequeña",0,IF(E19="Moderada",0.1,IF(E19="Grande",0.4,IF(E19="Esencial",0.9,"-")))))</f>
        <v>0</v>
      </c>
      <c r="G19" s="68">
        <f>IF(E19="No aumenta",0,IF(E19="Pequeña",0.1,IF(E19="Moderada",0.4,IF(E19="Grande",0.9,IF(E19="Esencial",1,"-")))))</f>
        <v>0</v>
      </c>
      <c r="H19" s="68">
        <f>IF(F19="-","-",AVERAGE(F19:G19))</f>
        <v>0</v>
      </c>
      <c r="I19" s="69">
        <v>601</v>
      </c>
      <c r="J19" s="70">
        <v>240</v>
      </c>
      <c r="K19" s="71">
        <f>IF(J19="-",0,I19*J19)</f>
        <v>144240</v>
      </c>
      <c r="L19" s="72">
        <f>IF(H19="-","-",K19*H19)</f>
        <v>0</v>
      </c>
      <c r="M19" s="73">
        <f>IF($H19="-","-",(($K19/(-0.8+1)*((1/(1-$H19))^(-0.8+1)-1))))</f>
        <v>0</v>
      </c>
      <c r="N19" s="73">
        <f>IF($H19="-","-",(($K19/(-1.2+1)*((1/(1-$H19))^(-1.2+1)-1))))</f>
        <v>0</v>
      </c>
      <c r="O19" s="57"/>
    </row>
    <row r="20" spans="1:15" ht="29.25">
      <c r="A20" s="47" t="s">
        <v>121</v>
      </c>
      <c r="B20" s="47" t="s">
        <v>122</v>
      </c>
      <c r="C20" s="48" t="s">
        <v>123</v>
      </c>
      <c r="D20" s="49" t="s">
        <v>34</v>
      </c>
      <c r="E20" s="50" t="s">
        <v>68</v>
      </c>
      <c r="F20" s="51">
        <f>IF(E20="No aumenta",0,IF(E20="Pequeña",0,IF(E20="Moderada",0.1,IF(E20="Grande",0.4,IF(E20="Esencial",0.9,"-")))))</f>
        <v>0</v>
      </c>
      <c r="G20" s="51">
        <f>IF(E20="No aumenta",0,IF(E20="Pequeña",0.1,IF(E20="Moderada",0.4,IF(E20="Grande",0.9,IF(E20="Esencial",1,"-")))))</f>
        <v>0</v>
      </c>
      <c r="H20" s="51">
        <f>IF(F20="-","-",AVERAGE(F20:G20))</f>
        <v>0</v>
      </c>
      <c r="I20" s="157">
        <v>1668.3</v>
      </c>
      <c r="J20" s="158">
        <v>75</v>
      </c>
      <c r="K20" s="54">
        <f>IF(J20="-",0,I20*J20)</f>
        <v>125122.5</v>
      </c>
      <c r="L20" s="55">
        <f>IF(H20="-","-",K20*H20)</f>
        <v>0</v>
      </c>
      <c r="M20" s="56">
        <f>IF($H20="-","-",(($K20/(-0.8+1)*((1/(1-$H20))^(-0.8+1)-1))))</f>
        <v>0</v>
      </c>
      <c r="N20" s="56">
        <f>IF($H20="-","-",(($K20/(-1.2+1)*((1/(1-$H20))^(-1.2+1)-1))))</f>
        <v>0</v>
      </c>
      <c r="O20" s="57"/>
    </row>
    <row r="21" spans="1:15" ht="16.5">
      <c r="A21" s="64" t="s">
        <v>127</v>
      </c>
      <c r="B21" s="64" t="s">
        <v>128</v>
      </c>
      <c r="C21" s="65" t="s">
        <v>129</v>
      </c>
      <c r="D21" s="171" t="s">
        <v>40</v>
      </c>
      <c r="E21" s="67" t="s">
        <v>130</v>
      </c>
      <c r="F21" s="68">
        <f>IF(E21="No aumenta",0,IF(E21="Pequeña",0,IF(E21="Moderada",0.1,IF(E21="Grande",0.4,IF(E21="Esencial",0.9,"-")))))</f>
        <v>0.9</v>
      </c>
      <c r="G21" s="68">
        <f>IF(E21="No aumenta",0,IF(E21="Pequeña",0.1,IF(E21="Moderada",0.4,IF(E21="Grande",0.9,IF(E21="Esencial",1,"-")))))</f>
        <v>1</v>
      </c>
      <c r="H21" s="68">
        <f>IF(F21="-","-",AVERAGE(F21:G21))</f>
        <v>0.95</v>
      </c>
      <c r="I21" s="69">
        <v>706</v>
      </c>
      <c r="J21" s="70">
        <v>2200</v>
      </c>
      <c r="K21" s="71">
        <f>IF(J21="-",0,I21*J21)</f>
        <v>1553200</v>
      </c>
      <c r="L21" s="72">
        <f>IF(H21="-","-",K21*H21)</f>
        <v>1475540</v>
      </c>
      <c r="M21" s="73">
        <f>IF($H21="-","-",(($K21/(-0.8+1)*((1/(1-$H21))^(-0.8+1)-1))))</f>
        <v>6372501.600700538</v>
      </c>
      <c r="N21" s="73">
        <f>IF($H21="-","-",(($K21/(-1.2+1)*((1/(1-$H21))^(-1.2+1)-1))))</f>
        <v>3500289.4103423445</v>
      </c>
      <c r="O21" s="57"/>
    </row>
    <row r="22" spans="1:15" ht="29.25">
      <c r="A22" s="64" t="s">
        <v>131</v>
      </c>
      <c r="B22" s="64" t="s">
        <v>132</v>
      </c>
      <c r="C22" s="65" t="s">
        <v>133</v>
      </c>
      <c r="D22" s="66" t="s">
        <v>40</v>
      </c>
      <c r="E22" s="67" t="s">
        <v>72</v>
      </c>
      <c r="F22" s="68">
        <v>0</v>
      </c>
      <c r="G22" s="68">
        <v>0.1</v>
      </c>
      <c r="H22" s="68">
        <v>0.05</v>
      </c>
      <c r="I22" s="69">
        <v>164.4</v>
      </c>
      <c r="J22" s="70">
        <v>64</v>
      </c>
      <c r="K22" s="71">
        <f>IF(J22="-",0,I22*J22)</f>
        <v>10521.6</v>
      </c>
      <c r="L22" s="72">
        <f>IF(H22="-","-",K22*H22)</f>
        <v>526.08</v>
      </c>
      <c r="M22" s="73">
        <f>IF($H22="-","-",(($K22/(-0.8+1)*((1/(1-$H22))^(-0.8+1)-1))))</f>
        <v>542.465251797982</v>
      </c>
      <c r="N22" s="73">
        <f>IF($H22="-","-",(($K22/(-1.2+1)*((1/(1-$H22))^(-1.2+1)-1))))</f>
        <v>536.9287330109089</v>
      </c>
      <c r="O22" s="57"/>
    </row>
    <row r="23" spans="1:15" ht="42.75">
      <c r="A23" s="85" t="s">
        <v>137</v>
      </c>
      <c r="B23" s="85" t="s">
        <v>138</v>
      </c>
      <c r="C23" s="86" t="s">
        <v>139</v>
      </c>
      <c r="D23" s="87" t="s">
        <v>48</v>
      </c>
      <c r="E23" s="88" t="s">
        <v>49</v>
      </c>
      <c r="F23" s="89" t="str">
        <f>IF(E23="No aumenta",0,IF(E23="Pequeña",0,IF(E23="Moderada",0.1,IF(E23="Grande",0.4,IF(E23="Esencial",0.9,"-")))))</f>
        <v>-</v>
      </c>
      <c r="G23" s="89" t="str">
        <f>IF(E23="No aumenta",0,IF(E23="Pequeña",0.1,IF(E23="Moderada",0.4,IF(E23="Grande",0.9,IF(E23="Esencial",1,"-")))))</f>
        <v>-</v>
      </c>
      <c r="H23" s="89" t="str">
        <f>IF(F23="-","-",AVERAGE(F23:G23))</f>
        <v>-</v>
      </c>
      <c r="I23" s="90">
        <v>300</v>
      </c>
      <c r="J23" s="91">
        <v>3325</v>
      </c>
      <c r="K23" s="92">
        <f>IF(J23="-",0,I23*J23)</f>
        <v>997500</v>
      </c>
      <c r="L23" s="93" t="str">
        <f>IF(H23="-","-",K23*H23)</f>
        <v>-</v>
      </c>
      <c r="M23" s="94" t="str">
        <f>IF($H23="-","-",(($K23/(-0.8+1)*((1/(1-$H23))^(-0.8+1)-1))))</f>
        <v>-</v>
      </c>
      <c r="N23" s="94" t="str">
        <f>IF($H23="-","-",(($K23/(-1.2+1)*((1/(1-$H23))^(-1.2+1)-1))))</f>
        <v>-</v>
      </c>
      <c r="O23" s="57"/>
    </row>
    <row r="24" spans="1:15" ht="16.5">
      <c r="A24" s="119" t="s">
        <v>143</v>
      </c>
      <c r="B24" s="119" t="s">
        <v>144</v>
      </c>
      <c r="C24" s="120" t="s">
        <v>145</v>
      </c>
      <c r="D24" s="121" t="s">
        <v>36</v>
      </c>
      <c r="E24" s="122" t="s">
        <v>68</v>
      </c>
      <c r="F24" s="123">
        <v>0</v>
      </c>
      <c r="G24" s="123">
        <v>0</v>
      </c>
      <c r="H24" s="123">
        <v>0</v>
      </c>
      <c r="I24" s="124">
        <v>216.9</v>
      </c>
      <c r="J24" s="125">
        <v>700</v>
      </c>
      <c r="K24" s="126">
        <f>IF(J24="-",0,I24*J24)</f>
        <v>151830</v>
      </c>
      <c r="L24" s="127">
        <f>IF(H24="-","-",K24*H24)</f>
        <v>0</v>
      </c>
      <c r="M24" s="128">
        <f>IF($H24="-","-",(($K24/(-0.8+1)*((1/(1-$H24))^(-0.8+1)-1))))</f>
        <v>0</v>
      </c>
      <c r="N24" s="128">
        <f>IF($H24="-","-",(($K24/(-1.2+1)*((1/(1-$H24))^(-1.2+1)-1))))</f>
        <v>0</v>
      </c>
      <c r="O24" s="57"/>
    </row>
    <row r="25" spans="1:15" ht="16.5">
      <c r="A25" s="119" t="s">
        <v>149</v>
      </c>
      <c r="B25" s="119" t="s">
        <v>150</v>
      </c>
      <c r="C25" s="120" t="s">
        <v>151</v>
      </c>
      <c r="D25" s="121" t="s">
        <v>36</v>
      </c>
      <c r="E25" s="122" t="s">
        <v>68</v>
      </c>
      <c r="F25" s="123">
        <v>0</v>
      </c>
      <c r="G25" s="123">
        <v>0</v>
      </c>
      <c r="H25" s="123">
        <v>0</v>
      </c>
      <c r="I25" s="124">
        <v>181.5</v>
      </c>
      <c r="J25" s="125">
        <v>68</v>
      </c>
      <c r="K25" s="126">
        <f>IF(J25="-",0,I25*J25)</f>
        <v>12342</v>
      </c>
      <c r="L25" s="127">
        <f>IF(H25="-","-",K25*H25)</f>
        <v>0</v>
      </c>
      <c r="M25" s="128">
        <f>IF($H25="-","-",(($K25/(-0.8+1)*((1/(1-$H25))^(-0.8+1)-1))))</f>
        <v>0</v>
      </c>
      <c r="N25" s="128">
        <f>IF($H25="-","-",(($K25/(-1.2+1)*((1/(1-$H25))^(-1.2+1)-1))))</f>
        <v>0</v>
      </c>
      <c r="O25" s="57"/>
    </row>
    <row r="26" spans="1:15" ht="42.75">
      <c r="A26" s="85" t="s">
        <v>158</v>
      </c>
      <c r="B26" s="85" t="s">
        <v>159</v>
      </c>
      <c r="C26" s="86" t="s">
        <v>157</v>
      </c>
      <c r="D26" s="87" t="s">
        <v>48</v>
      </c>
      <c r="E26" s="88" t="s">
        <v>49</v>
      </c>
      <c r="F26" s="89" t="s">
        <v>63</v>
      </c>
      <c r="G26" s="89" t="s">
        <v>63</v>
      </c>
      <c r="H26" s="89" t="s">
        <v>63</v>
      </c>
      <c r="I26" s="90">
        <v>174.9</v>
      </c>
      <c r="J26" s="91">
        <v>2850</v>
      </c>
      <c r="K26" s="92">
        <f>IF(J26="-",0,I26*J26)</f>
        <v>498465</v>
      </c>
      <c r="L26" s="93" t="str">
        <f>IF(H26="-","-",K26*H26)</f>
        <v>-</v>
      </c>
      <c r="M26" s="94" t="str">
        <f>IF($H26="-","-",(($K26/(-0.8+1)*((1/(1-$H26))^(-0.8+1)-1))))</f>
        <v>-</v>
      </c>
      <c r="N26" s="94" t="str">
        <f>IF($H26="-","-",(($K26/(-1.2+1)*((1/(1-$H26))^(-1.2+1)-1))))</f>
        <v>-</v>
      </c>
      <c r="O26" s="57"/>
    </row>
    <row r="27" spans="1:15" ht="42.75">
      <c r="A27" s="64" t="s">
        <v>166</v>
      </c>
      <c r="B27" s="64" t="s">
        <v>167</v>
      </c>
      <c r="C27" s="65" t="s">
        <v>168</v>
      </c>
      <c r="D27" s="66" t="s">
        <v>40</v>
      </c>
      <c r="E27" s="67" t="s">
        <v>35</v>
      </c>
      <c r="F27" s="68">
        <v>0.4</v>
      </c>
      <c r="G27" s="68">
        <v>0.9</v>
      </c>
      <c r="H27" s="68">
        <v>0.65</v>
      </c>
      <c r="I27" s="69">
        <v>532.1</v>
      </c>
      <c r="J27" s="70">
        <v>240</v>
      </c>
      <c r="K27" s="71">
        <f>IF(J27="-",0,I27*J27)</f>
        <v>127704</v>
      </c>
      <c r="L27" s="72">
        <f>IF(H27="-","-",K27*H27)</f>
        <v>83007.6</v>
      </c>
      <c r="M27" s="73">
        <f>IF($H27="-","-",(($K27/(-0.8+1)*((1/(1-$H27))^(-0.8+1)-1))))</f>
        <v>149180.0918353766</v>
      </c>
      <c r="N27" s="73">
        <f>IF($H27="-","-",(($K27/(-1.2+1)*((1/(1-$H27))^(-1.2+1)-1))))</f>
        <v>120927.33417965898</v>
      </c>
      <c r="O27" s="57"/>
    </row>
    <row r="28" spans="1:15" ht="16.5">
      <c r="A28" s="64" t="s">
        <v>169</v>
      </c>
      <c r="B28" s="64" t="s">
        <v>170</v>
      </c>
      <c r="C28" s="65" t="s">
        <v>171</v>
      </c>
      <c r="D28" s="66" t="s">
        <v>40</v>
      </c>
      <c r="E28" s="67" t="s">
        <v>35</v>
      </c>
      <c r="F28" s="68">
        <v>0.4</v>
      </c>
      <c r="G28" s="68">
        <v>0.9</v>
      </c>
      <c r="H28" s="68">
        <v>0.65</v>
      </c>
      <c r="I28" s="69">
        <v>427.4</v>
      </c>
      <c r="J28" s="70">
        <v>405</v>
      </c>
      <c r="K28" s="71">
        <f>IF(J28="-",0,I28*J28)</f>
        <v>173097</v>
      </c>
      <c r="L28" s="72">
        <f>IF(H28="-","-",K28*H28)</f>
        <v>112513.05</v>
      </c>
      <c r="M28" s="73">
        <f>IF($H28="-","-",(($K28/(-0.8+1)*((1/(1-$H28))^(-0.8+1)-1))))</f>
        <v>202206.87180063417</v>
      </c>
      <c r="N28" s="73">
        <f>IF($H28="-","-",(($K28/(-1.2+1)*((1/(1-$H28))^(-1.2+1)-1))))</f>
        <v>163911.535774106</v>
      </c>
      <c r="O28" s="57"/>
    </row>
    <row r="29" spans="1:15" ht="29.25">
      <c r="A29" s="85" t="s">
        <v>175</v>
      </c>
      <c r="B29" s="85" t="s">
        <v>176</v>
      </c>
      <c r="C29" s="86" t="s">
        <v>174</v>
      </c>
      <c r="D29" s="87" t="s">
        <v>48</v>
      </c>
      <c r="E29" s="88" t="s">
        <v>68</v>
      </c>
      <c r="F29" s="89">
        <f>IF(E29="No aumenta",0,IF(E29="Pequeña",0,IF(E29="Moderada",0.1,IF(E29="Grande",0.4,IF(E29="Esencial",0.9,"-")))))</f>
        <v>0</v>
      </c>
      <c r="G29" s="89">
        <f>IF(E29="No aumenta",0,IF(E29="Pequeña",0.1,IF(E29="Moderada",0.4,IF(E29="Grande",0.9,IF(E29="Esencial",1,"-")))))</f>
        <v>0</v>
      </c>
      <c r="H29" s="89">
        <f>IF(F29="-","-",AVERAGE(F29:G29))</f>
        <v>0</v>
      </c>
      <c r="I29" s="90">
        <v>1847.6</v>
      </c>
      <c r="J29" s="91">
        <v>90</v>
      </c>
      <c r="K29" s="92">
        <f>IF(J29="-",0,I29*J29)</f>
        <v>166284</v>
      </c>
      <c r="L29" s="93">
        <f>IF(H29="-","-",K29*H29)</f>
        <v>0</v>
      </c>
      <c r="M29" s="94">
        <f>IF($H29="-","-",(($K29/(-0.8+1)*((1/(1-$H29))^(-0.8+1)-1))))</f>
        <v>0</v>
      </c>
      <c r="N29" s="94">
        <f>IF($H29="-","-",(($K29/(-1.2+1)*((1/(1-$H29))^(-1.2+1)-1))))</f>
        <v>0</v>
      </c>
      <c r="O29" s="57"/>
    </row>
    <row r="30" spans="1:15" ht="29.25">
      <c r="A30" s="64" t="s">
        <v>177</v>
      </c>
      <c r="B30" s="64" t="s">
        <v>178</v>
      </c>
      <c r="C30" s="65" t="s">
        <v>179</v>
      </c>
      <c r="D30" s="66" t="s">
        <v>40</v>
      </c>
      <c r="E30" s="67" t="s">
        <v>35</v>
      </c>
      <c r="F30" s="68">
        <v>0.4</v>
      </c>
      <c r="G30" s="68">
        <v>0.9</v>
      </c>
      <c r="H30" s="68">
        <v>0.65</v>
      </c>
      <c r="I30" s="69">
        <v>471.3</v>
      </c>
      <c r="J30" s="70">
        <v>540</v>
      </c>
      <c r="K30" s="71">
        <f>IF(J30="-",0,I30*J30)</f>
        <v>254502</v>
      </c>
      <c r="L30" s="72">
        <f>IF(H30="-","-",K30*H30)</f>
        <v>165426.30000000002</v>
      </c>
      <c r="M30" s="73">
        <f>IF($H30="-","-",(($K30/(-0.8+1)*((1/(1-$H30))^(-0.8+1)-1))))</f>
        <v>297301.82086925243</v>
      </c>
      <c r="N30" s="73">
        <f>IF($H30="-","-",(($K30/(-1.2+1)*((1/(1-$H30))^(-1.2+1)-1))))</f>
        <v>240996.74562575622</v>
      </c>
      <c r="O30" s="57"/>
    </row>
    <row r="31" spans="1:15" ht="29.25">
      <c r="A31" s="183" t="s">
        <v>180</v>
      </c>
      <c r="B31" s="183" t="s">
        <v>181</v>
      </c>
      <c r="C31" s="184" t="s">
        <v>182</v>
      </c>
      <c r="D31" s="101" t="s">
        <v>54</v>
      </c>
      <c r="E31" s="185" t="s">
        <v>62</v>
      </c>
      <c r="F31" s="186" t="s">
        <v>63</v>
      </c>
      <c r="G31" s="186" t="s">
        <v>63</v>
      </c>
      <c r="H31" s="186" t="s">
        <v>63</v>
      </c>
      <c r="I31" s="187">
        <v>212.7</v>
      </c>
      <c r="J31" s="188">
        <v>34960</v>
      </c>
      <c r="K31" s="189">
        <f>IF(J31="-",0,I31*J31)</f>
        <v>7435992</v>
      </c>
      <c r="L31" s="190" t="str">
        <f>IF(H31="-","-",K31*H31)</f>
        <v>-</v>
      </c>
      <c r="M31" s="191" t="str">
        <f>IF($H31="-","-",(($K31/(-0.8+1)*((1/(1-$H31))^(-0.8+1)-1))))</f>
        <v>-</v>
      </c>
      <c r="N31" s="191" t="str">
        <f>IF($H31="-","-",(($K31/(-1.2+1)*((1/(1-$H31))^(-1.2+1)-1))))</f>
        <v>-</v>
      </c>
      <c r="O31" s="57"/>
    </row>
    <row r="32" spans="1:15" ht="42.75">
      <c r="A32" s="85" t="s">
        <v>251</v>
      </c>
      <c r="B32" s="85" t="s">
        <v>184</v>
      </c>
      <c r="C32" s="86" t="s">
        <v>185</v>
      </c>
      <c r="D32" s="87" t="s">
        <v>48</v>
      </c>
      <c r="E32" s="88" t="s">
        <v>130</v>
      </c>
      <c r="F32" s="89">
        <f>IF(E32="No aumenta",0,IF(E32="Pequeña",0,IF(E32="Moderada",0.1,IF(E32="Grande",0.4,IF(E32="Esencial",0.9,"-")))))</f>
        <v>0.9</v>
      </c>
      <c r="G32" s="89">
        <f>IF(E32="No aumenta",0,IF(E32="Pequeña",0.1,IF(E32="Moderada",0.4,IF(E32="Grande",0.9,IF(E32="Esencial",1,"-")))))</f>
        <v>1</v>
      </c>
      <c r="H32" s="89">
        <f>IF(F32="-","-",AVERAGE(F32:G32))</f>
        <v>0.95</v>
      </c>
      <c r="I32" s="90">
        <v>333.5</v>
      </c>
      <c r="J32" s="91">
        <f>200+270</f>
        <v>470</v>
      </c>
      <c r="K32" s="92">
        <f>IF(J32="-",0,I32*J32)</f>
        <v>156745</v>
      </c>
      <c r="L32" s="93">
        <f>IF(H32="-","-",K32*H32)</f>
        <v>148907.75</v>
      </c>
      <c r="M32" s="94">
        <f>IF($H32="-","-",(($K32/(-0.8+1)*((1/(1-$H32))^(-0.8+1)-1))))</f>
        <v>643096.6800166145</v>
      </c>
      <c r="N32" s="94">
        <f>IF($H32="-","-",(($K32/(-1.2+1)*((1/(1-$H32))^(-1.2+1)-1))))</f>
        <v>353240.31909870636</v>
      </c>
      <c r="O32" s="57"/>
    </row>
    <row r="33" spans="1:15" ht="16.5">
      <c r="A33" s="64" t="s">
        <v>186</v>
      </c>
      <c r="B33" s="64" t="s">
        <v>187</v>
      </c>
      <c r="C33" s="192" t="s">
        <v>188</v>
      </c>
      <c r="D33" s="66" t="s">
        <v>40</v>
      </c>
      <c r="E33" s="67" t="s">
        <v>35</v>
      </c>
      <c r="F33" s="68">
        <v>0.4</v>
      </c>
      <c r="G33" s="68">
        <v>0.9</v>
      </c>
      <c r="H33" s="68">
        <v>0.65</v>
      </c>
      <c r="I33" s="69">
        <v>316.1</v>
      </c>
      <c r="J33" s="70">
        <v>10</v>
      </c>
      <c r="K33" s="71">
        <f>IF(J33="-",0,I33*J33)</f>
        <v>3161</v>
      </c>
      <c r="L33" s="72">
        <f>IF(H33="-","-",K33*H33)</f>
        <v>2054.65</v>
      </c>
      <c r="M33" s="73">
        <f>IF($H33="-","-",(($K33/(-0.8+1)*((1/(1-$H33))^(-0.8+1)-1))))</f>
        <v>3692.588096626773</v>
      </c>
      <c r="N33" s="73">
        <f>IF($H33="-","-",(($K33/(-1.2+1)*((1/(1-$H33))^(-1.2+1)-1))))</f>
        <v>2993.2602216211085</v>
      </c>
      <c r="O33" s="57"/>
    </row>
    <row r="34" spans="1:15" ht="29.25">
      <c r="A34" s="64" t="s">
        <v>192</v>
      </c>
      <c r="B34" s="64" t="s">
        <v>193</v>
      </c>
      <c r="C34" s="192" t="s">
        <v>194</v>
      </c>
      <c r="D34" s="171" t="s">
        <v>40</v>
      </c>
      <c r="E34" s="68" t="s">
        <v>35</v>
      </c>
      <c r="F34" s="68">
        <v>0.4</v>
      </c>
      <c r="G34" s="68">
        <v>0.9</v>
      </c>
      <c r="H34" s="68">
        <v>0.65</v>
      </c>
      <c r="I34" s="69">
        <v>4404.7</v>
      </c>
      <c r="J34" s="70">
        <v>6</v>
      </c>
      <c r="K34" s="71">
        <f>IF(J34="-",0,I34*J34)</f>
        <v>26428.199999999997</v>
      </c>
      <c r="L34" s="72">
        <f>IF(H34="-","-",K34*H34)</f>
        <v>17178.329999999998</v>
      </c>
      <c r="M34" s="73">
        <f>IF($H34="-","-",(($K34/(-0.8+1)*((1/(1-$H34))^(-0.8+1)-1))))</f>
        <v>30872.65319053201</v>
      </c>
      <c r="N34" s="73">
        <f>IF($H34="-","-",(($K34/(-1.2+1)*((1/(1-$H34))^(-1.2+1)-1))))</f>
        <v>25025.77658622176</v>
      </c>
      <c r="O34" s="57"/>
    </row>
    <row r="35" spans="1:15" ht="16.5">
      <c r="A35" s="85" t="s">
        <v>213</v>
      </c>
      <c r="B35" s="85" t="s">
        <v>214</v>
      </c>
      <c r="C35" s="86" t="s">
        <v>215</v>
      </c>
      <c r="D35" s="87" t="s">
        <v>48</v>
      </c>
      <c r="E35" s="88" t="s">
        <v>68</v>
      </c>
      <c r="F35" s="89">
        <v>0</v>
      </c>
      <c r="G35" s="89">
        <v>0</v>
      </c>
      <c r="H35" s="89">
        <v>0</v>
      </c>
      <c r="I35" s="90">
        <v>508.7</v>
      </c>
      <c r="J35" s="91">
        <v>20</v>
      </c>
      <c r="K35" s="92">
        <f>IF(J35="-",0,I35*J35)</f>
        <v>10174</v>
      </c>
      <c r="L35" s="93">
        <f>IF(H35="-","-",K35*H35)</f>
        <v>0</v>
      </c>
      <c r="M35" s="94">
        <f>IF($H35="-","-",(($K35/(-0.8+1)*((1/(1-$H35))^(-0.8+1)-1))))</f>
        <v>0</v>
      </c>
      <c r="N35" s="94">
        <f>IF($H35="-","-",(($K35/(-1.2+1)*((1/(1-$H35))^(-1.2+1)-1))))</f>
        <v>0</v>
      </c>
      <c r="O35" s="57"/>
    </row>
    <row r="36" spans="1:15" ht="16.5">
      <c r="A36" s="64" t="s">
        <v>216</v>
      </c>
      <c r="B36" s="64" t="s">
        <v>217</v>
      </c>
      <c r="C36" s="65" t="s">
        <v>218</v>
      </c>
      <c r="D36" s="66" t="s">
        <v>40</v>
      </c>
      <c r="E36" s="67" t="s">
        <v>79</v>
      </c>
      <c r="F36" s="68">
        <f>IF(E36="No aumenta",0,IF(E36="Pequeña",0,IF(E36="Moderada",0.1,IF(E36="Grande",0.4,IF(E36="Esencial",0.9,"-")))))</f>
        <v>0.1</v>
      </c>
      <c r="G36" s="68">
        <f>IF(E36="No aumenta",0,IF(E36="Pequeña",0.1,IF(E36="Moderada",0.4,IF(E36="Grande",0.9,IF(E36="Esencial",1,"-")))))</f>
        <v>0.4</v>
      </c>
      <c r="H36" s="68">
        <f>IF(F36="-","-",AVERAGE(F36:G36))</f>
        <v>0.25</v>
      </c>
      <c r="I36" s="69">
        <v>1310.8</v>
      </c>
      <c r="J36" s="70">
        <v>20</v>
      </c>
      <c r="K36" s="71">
        <f>IF(J36="-",0,I36*J36)</f>
        <v>26216</v>
      </c>
      <c r="L36" s="72">
        <f>IF(H36="-","-",K36*H36)</f>
        <v>6554</v>
      </c>
      <c r="M36" s="73">
        <f>IF($H36="-","-",(($K36/(-0.8+1)*((1/(1-$H36))^(-0.8+1)-1))))</f>
        <v>7763.061084678302</v>
      </c>
      <c r="N36" s="73">
        <f>IF($H36="-","-",(($K36/(-1.2+1)*((1/(1-$H36))^(-1.2+1)-1))))</f>
        <v>7329.00901946425</v>
      </c>
      <c r="O36" s="57"/>
    </row>
    <row r="37" spans="1:15" ht="16.5">
      <c r="A37" s="85" t="s">
        <v>231</v>
      </c>
      <c r="B37" s="85" t="s">
        <v>232</v>
      </c>
      <c r="C37" s="86" t="s">
        <v>233</v>
      </c>
      <c r="D37" s="87" t="s">
        <v>48</v>
      </c>
      <c r="E37" s="88" t="s">
        <v>72</v>
      </c>
      <c r="F37" s="89">
        <v>0</v>
      </c>
      <c r="G37" s="89">
        <v>0.1</v>
      </c>
      <c r="H37" s="89">
        <v>0.05</v>
      </c>
      <c r="I37" s="90">
        <v>440.6</v>
      </c>
      <c r="J37" s="91">
        <v>2700</v>
      </c>
      <c r="K37" s="92">
        <f>IF(J37="-",0,I37*J37)</f>
        <v>1189620</v>
      </c>
      <c r="L37" s="93">
        <f>IF(H37="-","-",K37*H37)</f>
        <v>59481</v>
      </c>
      <c r="M37" s="94">
        <f>IF($H37="-","-",(($K37/(-0.8+1)*((1/(1-$H37))^(-0.8+1)-1))))</f>
        <v>61333.591169015664</v>
      </c>
      <c r="N37" s="94">
        <f>IF($H37="-","-",(($K37/(-1.2+1)*((1/(1-$H37))^(-1.2+1)-1))))</f>
        <v>60707.60714762368</v>
      </c>
      <c r="O37" s="57"/>
    </row>
    <row r="38" spans="1:15" ht="29.25">
      <c r="A38" s="47" t="s">
        <v>234</v>
      </c>
      <c r="B38" s="47" t="s">
        <v>235</v>
      </c>
      <c r="C38" s="48" t="s">
        <v>236</v>
      </c>
      <c r="D38" s="49" t="s">
        <v>34</v>
      </c>
      <c r="E38" s="50" t="s">
        <v>68</v>
      </c>
      <c r="F38" s="51" t="s">
        <v>63</v>
      </c>
      <c r="G38" s="51" t="s">
        <v>63</v>
      </c>
      <c r="H38" s="51" t="s">
        <v>63</v>
      </c>
      <c r="I38" s="157">
        <v>2087.7</v>
      </c>
      <c r="J38" s="158">
        <v>70</v>
      </c>
      <c r="K38" s="54">
        <f>IF(J38="-",0,I38*J38)</f>
        <v>146139</v>
      </c>
      <c r="L38" s="55" t="str">
        <f>IF(H38="-","-",K38*H38)</f>
        <v>-</v>
      </c>
      <c r="M38" s="56" t="str">
        <f>IF($H38="-","-",(($K38/(-0.8+1)*((1/(1-$H38))^(-0.8+1)-1))))</f>
        <v>-</v>
      </c>
      <c r="N38" s="56" t="str">
        <f>IF($H38="-","-",(($K38/(-1.2+1)*((1/(1-$H38))^(-1.2+1)-1))))</f>
        <v>-</v>
      </c>
      <c r="O38" s="57"/>
    </row>
    <row r="39" spans="1:15" ht="29.25">
      <c r="A39" s="119" t="s">
        <v>240</v>
      </c>
      <c r="B39" s="119" t="s">
        <v>241</v>
      </c>
      <c r="C39" s="120" t="s">
        <v>242</v>
      </c>
      <c r="D39" s="121" t="s">
        <v>36</v>
      </c>
      <c r="E39" s="122" t="s">
        <v>68</v>
      </c>
      <c r="F39" s="123">
        <v>0</v>
      </c>
      <c r="G39" s="123">
        <v>0</v>
      </c>
      <c r="H39" s="123">
        <v>0</v>
      </c>
      <c r="I39" s="124">
        <v>230.1</v>
      </c>
      <c r="J39" s="125">
        <v>57</v>
      </c>
      <c r="K39" s="126">
        <f>IF(J39="-",0,I39*J39)</f>
        <v>13115.699999999999</v>
      </c>
      <c r="L39" s="127">
        <f>IF(H39="-","-",K39*H39)</f>
        <v>0</v>
      </c>
      <c r="M39" s="128">
        <f>IF($H39="-","-",(($K39/(-0.8+1)*((1/(1-$H39))^(-0.8+1)-1))))</f>
        <v>0</v>
      </c>
      <c r="N39" s="128">
        <f>IF($H39="-","-",(($K39/(-1.2+1)*((1/(1-$H39))^(-1.2+1)-1))))</f>
        <v>0</v>
      </c>
      <c r="O39" s="57"/>
    </row>
    <row r="40" spans="9:14" ht="16.5">
      <c r="I40" s="205"/>
      <c r="J40" s="206"/>
      <c r="K40" s="207"/>
      <c r="L40" s="208"/>
      <c r="M40" s="209"/>
      <c r="N40" s="209"/>
    </row>
    <row r="41" spans="1:14" ht="30" customHeight="1">
      <c r="A41" s="210" t="s">
        <v>243</v>
      </c>
      <c r="B41" s="210" t="s">
        <v>248</v>
      </c>
      <c r="C41" s="210"/>
      <c r="D41" s="210"/>
      <c r="E41" s="210"/>
      <c r="F41" s="211">
        <f>AVERAGE(F9:F39)</f>
        <v>0.20869565217391303</v>
      </c>
      <c r="G41" s="211">
        <f>AVERAGE(G9:G39)</f>
        <v>0.4173913043478261</v>
      </c>
      <c r="H41" s="211">
        <f>AVERAGE(H9:H39)</f>
        <v>0.31304347826086953</v>
      </c>
      <c r="I41" s="212">
        <f>AVERAGE(I9:I39)</f>
        <v>865.3870967741934</v>
      </c>
      <c r="J41" s="213">
        <f>AVERAGE(J9:J39)</f>
        <v>2699.2903225806454</v>
      </c>
      <c r="K41" s="214">
        <f>SUM(K9:K39)</f>
        <v>27169053.299999997</v>
      </c>
      <c r="L41" s="215">
        <f>SUM(L9:L39)</f>
        <v>9172488.62</v>
      </c>
      <c r="M41" s="216">
        <f>SUM(M9:M39)</f>
        <v>20434234.810322024</v>
      </c>
      <c r="N41" s="216">
        <f>SUM(N9:N39)</f>
        <v>14766397.770127444</v>
      </c>
    </row>
  </sheetData>
  <sheetProtection selectLockedCells="1" selectUnlockedCells="1"/>
  <mergeCells count="10">
    <mergeCell ref="A2:N2"/>
    <mergeCell ref="A3:N3"/>
    <mergeCell ref="P3:V3"/>
    <mergeCell ref="F4:H4"/>
    <mergeCell ref="I4:N4"/>
    <mergeCell ref="M5:N5"/>
    <mergeCell ref="U5:V5"/>
    <mergeCell ref="B6:D6"/>
    <mergeCell ref="E6:H6"/>
    <mergeCell ref="A41:E4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47"/>
  <sheetViews>
    <sheetView zoomScale="90" zoomScaleNormal="90" workbookViewId="0" topLeftCell="A7">
      <selection activeCell="A9" sqref="A9:A63"/>
    </sheetView>
  </sheetViews>
  <sheetFormatPr defaultColWidth="11.00390625" defaultRowHeight="12.75"/>
  <cols>
    <col min="1" max="1" width="10.75390625" style="1" customWidth="1"/>
    <col min="2" max="2" width="14.00390625" style="2" customWidth="1"/>
    <col min="3" max="3" width="40.75390625" style="3" customWidth="1"/>
    <col min="4" max="4" width="12.75390625" style="1" customWidth="1"/>
    <col min="5" max="5" width="11.75390625" style="4" customWidth="1"/>
    <col min="6" max="8" width="10.75390625" style="4" customWidth="1"/>
    <col min="9" max="9" width="14.625" style="1" customWidth="1"/>
    <col min="10" max="10" width="14.00390625" style="1" customWidth="1"/>
    <col min="11" max="11" width="16.875" style="5" customWidth="1"/>
    <col min="12" max="12" width="15.75390625" style="6" customWidth="1"/>
    <col min="13" max="14" width="15.75390625" style="7" customWidth="1"/>
    <col min="15" max="15" width="10.75390625" style="1" customWidth="1"/>
    <col min="16" max="16" width="12.375" style="1" customWidth="1"/>
    <col min="17" max="17" width="14.125" style="1" customWidth="1"/>
    <col min="18" max="18" width="24.75390625" style="1" customWidth="1"/>
    <col min="19" max="19" width="21.25390625" style="1" customWidth="1"/>
    <col min="20" max="20" width="14.125" style="1" customWidth="1"/>
    <col min="21" max="22" width="18.75390625" style="1" customWidth="1"/>
    <col min="23" max="245" width="10.75390625" style="1" customWidth="1"/>
    <col min="246" max="16384" width="10.75390625" style="0" customWidth="1"/>
  </cols>
  <sheetData>
    <row r="1" spans="2:14" s="8" customFormat="1" ht="12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36.75" customHeight="1">
      <c r="A2" s="9" t="s">
        <v>252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2" s="11" customFormat="1" ht="60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12" t="s">
        <v>2</v>
      </c>
      <c r="Q3" s="12"/>
      <c r="R3" s="12"/>
      <c r="S3" s="12"/>
      <c r="T3" s="12"/>
      <c r="U3" s="12"/>
      <c r="V3" s="12"/>
    </row>
    <row r="4" spans="6:246" ht="61.5" customHeight="1">
      <c r="F4" s="13" t="s">
        <v>3</v>
      </c>
      <c r="G4" s="13"/>
      <c r="H4" s="13"/>
      <c r="I4" s="14" t="s">
        <v>4</v>
      </c>
      <c r="J4" s="14"/>
      <c r="K4" s="14"/>
      <c r="L4" s="14"/>
      <c r="M4" s="14"/>
      <c r="N4" s="14"/>
      <c r="IL4" s="1"/>
    </row>
    <row r="5" spans="1:246" ht="78.75" customHeight="1">
      <c r="A5" s="15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8" t="s">
        <v>11</v>
      </c>
      <c r="H5" s="17" t="s">
        <v>12</v>
      </c>
      <c r="I5" s="19" t="s">
        <v>13</v>
      </c>
      <c r="J5" s="19" t="s">
        <v>14</v>
      </c>
      <c r="K5" s="20" t="s">
        <v>15</v>
      </c>
      <c r="L5" s="21" t="s">
        <v>16</v>
      </c>
      <c r="M5" s="22" t="s">
        <v>17</v>
      </c>
      <c r="N5" s="22"/>
      <c r="P5" s="16" t="s">
        <v>8</v>
      </c>
      <c r="Q5" s="23" t="s">
        <v>18</v>
      </c>
      <c r="R5" s="20" t="s">
        <v>15</v>
      </c>
      <c r="S5" s="21" t="s">
        <v>16</v>
      </c>
      <c r="T5" s="24" t="s">
        <v>19</v>
      </c>
      <c r="U5" s="22" t="s">
        <v>17</v>
      </c>
      <c r="V5" s="22"/>
      <c r="IL5" s="1"/>
    </row>
    <row r="6" spans="1:246" ht="47.25" customHeight="1">
      <c r="A6" s="25"/>
      <c r="B6" s="26" t="s">
        <v>20</v>
      </c>
      <c r="C6" s="26"/>
      <c r="D6" s="26"/>
      <c r="E6" s="27" t="s">
        <v>21</v>
      </c>
      <c r="F6" s="27"/>
      <c r="G6" s="27"/>
      <c r="H6" s="27"/>
      <c r="I6" s="28" t="s">
        <v>20</v>
      </c>
      <c r="J6" s="28" t="s">
        <v>22</v>
      </c>
      <c r="K6" s="29" t="s">
        <v>23</v>
      </c>
      <c r="L6" s="30" t="s">
        <v>24</v>
      </c>
      <c r="M6" s="31">
        <v>-0.8</v>
      </c>
      <c r="N6" s="31">
        <v>-1.2</v>
      </c>
      <c r="P6" s="32"/>
      <c r="Q6" s="33" t="s">
        <v>25</v>
      </c>
      <c r="R6" s="29" t="s">
        <v>23</v>
      </c>
      <c r="S6" s="30" t="s">
        <v>26</v>
      </c>
      <c r="T6" s="34" t="s">
        <v>27</v>
      </c>
      <c r="U6" s="31">
        <v>-0.8</v>
      </c>
      <c r="V6" s="31">
        <v>-1.2</v>
      </c>
      <c r="IL6" s="1"/>
    </row>
    <row r="7" spans="2:246" ht="27.75" customHeight="1">
      <c r="B7" s="35"/>
      <c r="C7" s="36"/>
      <c r="D7" s="37"/>
      <c r="E7" s="38"/>
      <c r="F7" s="39"/>
      <c r="G7" s="39"/>
      <c r="H7" s="39"/>
      <c r="I7" s="19" t="s">
        <v>28</v>
      </c>
      <c r="J7" s="19" t="s">
        <v>29</v>
      </c>
      <c r="K7" s="40" t="s">
        <v>30</v>
      </c>
      <c r="L7" s="41" t="s">
        <v>30</v>
      </c>
      <c r="M7" s="42" t="s">
        <v>30</v>
      </c>
      <c r="N7" s="42" t="s">
        <v>30</v>
      </c>
      <c r="P7" s="43"/>
      <c r="Q7" s="19"/>
      <c r="R7" s="40"/>
      <c r="S7" s="41"/>
      <c r="T7" s="44"/>
      <c r="U7" s="42"/>
      <c r="V7" s="42"/>
      <c r="IL7" s="1"/>
    </row>
    <row r="8" spans="2:246" ht="16.5">
      <c r="B8" s="35"/>
      <c r="C8" s="36"/>
      <c r="D8" s="37"/>
      <c r="E8" s="38"/>
      <c r="F8" s="39"/>
      <c r="G8" s="39"/>
      <c r="H8" s="39"/>
      <c r="I8" s="19"/>
      <c r="J8" s="19"/>
      <c r="K8" s="40"/>
      <c r="L8" s="41"/>
      <c r="M8" s="42"/>
      <c r="N8" s="42"/>
      <c r="P8" s="43"/>
      <c r="Q8" s="43"/>
      <c r="R8" s="40"/>
      <c r="S8" s="45"/>
      <c r="T8" s="44"/>
      <c r="U8" s="46"/>
      <c r="V8" s="46"/>
      <c r="IL8" s="1"/>
    </row>
    <row r="9" spans="1:22" ht="29.25">
      <c r="A9" s="47" t="s">
        <v>31</v>
      </c>
      <c r="B9" s="47" t="s">
        <v>32</v>
      </c>
      <c r="C9" s="48" t="s">
        <v>33</v>
      </c>
      <c r="D9" s="49" t="s">
        <v>34</v>
      </c>
      <c r="E9" s="50" t="s">
        <v>35</v>
      </c>
      <c r="F9" s="51">
        <v>0.4</v>
      </c>
      <c r="G9" s="51">
        <v>0.9</v>
      </c>
      <c r="H9" s="51">
        <v>0.65</v>
      </c>
      <c r="I9" s="52">
        <v>687.9</v>
      </c>
      <c r="J9" s="53">
        <v>10</v>
      </c>
      <c r="K9" s="54">
        <f>IF(J9="-",0,I9*J9)</f>
        <v>6879</v>
      </c>
      <c r="L9" s="55">
        <f>IF(H9="-","-",$K9*H9)</f>
        <v>4471.35</v>
      </c>
      <c r="M9" s="56">
        <f>IF($H9="-","-",(($K9/(-0.8+1)*((1/(1-$H9))^(-0.8+1)-1))))</f>
        <v>8035.8473637126135</v>
      </c>
      <c r="N9" s="56">
        <f>IF($H9="-","-",(($K9/(-1.2+1)*((1/(1-$H9))^(-1.2+1)-1))))</f>
        <v>6513.963006811644</v>
      </c>
      <c r="O9" s="57"/>
      <c r="P9" s="58" t="s">
        <v>36</v>
      </c>
      <c r="Q9" s="59">
        <f>SUMIF($D$9:$D$45,$P9,$K$9:$K$45)/SUMIF($D$9:$D$45,$P9,$J$9:$J$45)</f>
        <v>218.7828207517863</v>
      </c>
      <c r="R9" s="217">
        <f>SUMIF($D$9:$D$45,$P9,$K$9:$K$45)</f>
        <v>704261.9</v>
      </c>
      <c r="S9" s="218">
        <f>SUMIF($D$9:$D$45,$P9,$L$9:$L$45)</f>
        <v>0</v>
      </c>
      <c r="T9" s="62">
        <f>IF(R9=0,"-",S9/R9)</f>
        <v>0</v>
      </c>
      <c r="U9" s="219">
        <f>SUMIF($D$9:$D$45,$P9,$M$9:$M$45)</f>
        <v>0</v>
      </c>
      <c r="V9" s="219">
        <f>SUMIF($D$9:$D$45,$P9,$N$9:$N$45)</f>
        <v>0</v>
      </c>
    </row>
    <row r="10" spans="1:22" ht="16.5">
      <c r="A10" s="64" t="s">
        <v>37</v>
      </c>
      <c r="B10" s="64" t="s">
        <v>38</v>
      </c>
      <c r="C10" s="65" t="s">
        <v>39</v>
      </c>
      <c r="D10" s="66" t="s">
        <v>40</v>
      </c>
      <c r="E10" s="67" t="s">
        <v>35</v>
      </c>
      <c r="F10" s="68">
        <v>0.4</v>
      </c>
      <c r="G10" s="68">
        <v>0.9</v>
      </c>
      <c r="H10" s="68">
        <v>0.65</v>
      </c>
      <c r="I10" s="69">
        <v>342.2</v>
      </c>
      <c r="J10" s="70">
        <v>415</v>
      </c>
      <c r="K10" s="71">
        <f>IF(J10="-",0,I10*J10)</f>
        <v>142013</v>
      </c>
      <c r="L10" s="72">
        <f>IF(H10="-","-",K10*H10)</f>
        <v>92308.45</v>
      </c>
      <c r="M10" s="73">
        <f>IF($H10="-","-",(($K10/(-0.8+1)*((1/(1-$H10))^(-0.8+1)-1))))</f>
        <v>165895.44870808537</v>
      </c>
      <c r="N10" s="73">
        <f>IF($H10="-","-",(($K10/(-1.2+1)*((1/(1-$H10))^(-1.2+1)-1))))</f>
        <v>134477.02114934465</v>
      </c>
      <c r="O10" s="57"/>
      <c r="P10" s="66" t="s">
        <v>40</v>
      </c>
      <c r="Q10" s="74">
        <f>SUMIF($D$9:$D$45,$P10,$K$9:$K$45)/SUMIF($D$9:$D$45,$P10,$J$9:$J$45)</f>
        <v>456.8185469580626</v>
      </c>
      <c r="R10" s="220">
        <f>SUMIF($D$9:$D$45,$P10,$K$9:$K$45)</f>
        <v>773393.7999999999</v>
      </c>
      <c r="S10" s="221">
        <f>SUMIF($D$9:$D$45,$P10,$L$9:$L$45)</f>
        <v>263611.57</v>
      </c>
      <c r="T10" s="77">
        <f>IF(R10=0,"-",S10/R10)</f>
        <v>0.3408503791987989</v>
      </c>
      <c r="U10" s="222">
        <f>SUMIF($D$9:$D$45,$P10,$M$9:$M$45)</f>
        <v>495745.86436257826</v>
      </c>
      <c r="V10" s="222">
        <f>SUMIF($D$9:$D$45,$P10,$N$9:$N$45)</f>
        <v>388454.03564290144</v>
      </c>
    </row>
    <row r="11" spans="1:22" ht="29.25">
      <c r="A11" s="64" t="s">
        <v>41</v>
      </c>
      <c r="B11" s="64" t="s">
        <v>42</v>
      </c>
      <c r="C11" s="65" t="s">
        <v>43</v>
      </c>
      <c r="D11" s="66" t="s">
        <v>40</v>
      </c>
      <c r="E11" s="67" t="s">
        <v>35</v>
      </c>
      <c r="F11" s="68">
        <v>0.4</v>
      </c>
      <c r="G11" s="68">
        <v>0.9</v>
      </c>
      <c r="H11" s="68">
        <v>0.65</v>
      </c>
      <c r="I11" s="69">
        <v>745.8</v>
      </c>
      <c r="J11" s="70"/>
      <c r="K11" s="71">
        <f>IF(J11="-",0,I11*J11)</f>
        <v>0</v>
      </c>
      <c r="L11" s="72">
        <f>IF(H11="-","-",K11*H11)</f>
        <v>0</v>
      </c>
      <c r="M11" s="73">
        <f>IF($H11="-","-",(($K11/(-0.8+1)*((1/(1-$H11))^(-0.8+1)-1))))</f>
        <v>0</v>
      </c>
      <c r="N11" s="73">
        <f>IF($H11="-","-",(($K11/(-1.2+1)*((1/(1-$H11))^(-1.2+1)-1))))</f>
        <v>0</v>
      </c>
      <c r="O11" s="57"/>
      <c r="P11" s="79" t="s">
        <v>44</v>
      </c>
      <c r="Q11" s="80">
        <f>SUMIF($D$9:$D$45,$P11,$K$9:$K$45)/SUMIF($D$9:$D$45,$P11,$J$9:$J$45)</f>
        <v>289.57407407407413</v>
      </c>
      <c r="R11" s="223">
        <f>SUMIF($D$9:$D$45,$P11,$K$9:$K$45)</f>
        <v>31274.000000000004</v>
      </c>
      <c r="S11" s="224">
        <f>SUMIF($D$9:$D$45,$P11,$L$9:$L$45)</f>
        <v>7818.500000000001</v>
      </c>
      <c r="T11" s="83">
        <f>IF(R11=0,"-",S11/R11)</f>
        <v>0.25</v>
      </c>
      <c r="U11" s="225">
        <f>SUMIF($D$9:$D$45,$P11,$M$9:$M$45)</f>
        <v>9260.832024802763</v>
      </c>
      <c r="V11" s="225">
        <f>SUMIF($D$9:$D$45,$P11,$N$9:$N$45)</f>
        <v>8743.035858816182</v>
      </c>
    </row>
    <row r="12" spans="1:22" ht="42.75">
      <c r="A12" s="85" t="s">
        <v>45</v>
      </c>
      <c r="B12" s="85" t="s">
        <v>46</v>
      </c>
      <c r="C12" s="86" t="s">
        <v>47</v>
      </c>
      <c r="D12" s="87" t="s">
        <v>48</v>
      </c>
      <c r="E12" s="88" t="s">
        <v>49</v>
      </c>
      <c r="F12" s="89" t="str">
        <f>IF(E12="No aumenta",0,IF(E12="Pequeña",0,IF(E12="Moderada",0.1,IF(E12="Grande",0.4,IF(E12="Esencial",0.9,"-")))))</f>
        <v>-</v>
      </c>
      <c r="G12" s="89" t="str">
        <f>IF(E12="No aumenta",0,IF(E12="Pequeña",0.1,IF(E12="Moderada",0.4,IF(E12="Grande",0.9,IF(E12="Esencial",1,"-")))))</f>
        <v>-</v>
      </c>
      <c r="H12" s="89" t="str">
        <f>IF(F12="-","-",AVERAGE(F12:G12))</f>
        <v>-</v>
      </c>
      <c r="I12" s="90">
        <v>661.2</v>
      </c>
      <c r="J12" s="91">
        <v>26</v>
      </c>
      <c r="K12" s="92">
        <f>IF(J12="-",0,I12*J12)</f>
        <v>17191.2</v>
      </c>
      <c r="L12" s="93" t="str">
        <f>IF(H12="-","-",K12*H12)</f>
        <v>-</v>
      </c>
      <c r="M12" s="94" t="str">
        <f>IF($H12="-","-",(($K12/(-0.8+1)*((1/(1-$H12))^(-0.8+1)-1))))</f>
        <v>-</v>
      </c>
      <c r="N12" s="94" t="str">
        <f>IF($H12="-","-",(($K12/(-1.2+1)*((1/(1-$H12))^(-1.2+1)-1))))</f>
        <v>-</v>
      </c>
      <c r="O12" s="57"/>
      <c r="P12" s="95" t="s">
        <v>50</v>
      </c>
      <c r="Q12" s="96">
        <f>SUMIF($D$9:$D$45,$P12,$K$9:$K$45)/SUMIF($D$9:$D$45,$P12,$J$9:$J$45)</f>
        <v>1857.5999999999997</v>
      </c>
      <c r="R12" s="226">
        <f>SUMIF($D$9:$D$45,$P12,$K$9:$K$45)</f>
        <v>16718.399999999998</v>
      </c>
      <c r="S12" s="227">
        <f>SUMIF($D$9:$D$45,$P12,$L$9:$L$45)</f>
        <v>835.92</v>
      </c>
      <c r="T12" s="99">
        <f>IF(R12=0,"-",S12/R12)</f>
        <v>0.05</v>
      </c>
      <c r="U12" s="228">
        <f>SUMIF($D$9:$D$45,$P12,$M$9:$M$45)</f>
        <v>861.9555073049137</v>
      </c>
      <c r="V12" s="228">
        <f>SUMIF($D$9:$D$45,$P12,$N$9:$N$45)</f>
        <v>853.1582012212571</v>
      </c>
    </row>
    <row r="13" spans="1:22" ht="29.25">
      <c r="A13" s="119" t="s">
        <v>65</v>
      </c>
      <c r="B13" s="119" t="s">
        <v>66</v>
      </c>
      <c r="C13" s="120" t="s">
        <v>67</v>
      </c>
      <c r="D13" s="121" t="s">
        <v>36</v>
      </c>
      <c r="E13" s="122" t="s">
        <v>68</v>
      </c>
      <c r="F13" s="123">
        <v>0</v>
      </c>
      <c r="G13" s="123">
        <v>0</v>
      </c>
      <c r="H13" s="123">
        <v>0</v>
      </c>
      <c r="I13" s="124">
        <v>194.8</v>
      </c>
      <c r="J13" s="125">
        <v>368</v>
      </c>
      <c r="K13" s="126">
        <f>IF(J13="-",0,I13*J13)</f>
        <v>71686.40000000001</v>
      </c>
      <c r="L13" s="127">
        <f>IF(H13="-","-",K13*H13)</f>
        <v>0</v>
      </c>
      <c r="M13" s="128">
        <f>IF($H13="-","-",(($K13/(-0.8+1)*((1/(1-$H13))^(-0.8+1)-1))))</f>
        <v>0</v>
      </c>
      <c r="N13" s="128">
        <f>IF($H13="-","-",(($K13/(-1.2+1)*((1/(1-$H13))^(-1.2+1)-1))))</f>
        <v>0</v>
      </c>
      <c r="O13" s="57"/>
      <c r="P13" s="101" t="s">
        <v>54</v>
      </c>
      <c r="Q13" s="102">
        <f>SUMIF($D$9:$D$45,$P13,$K$9:$K$45)/SUMIF($D$9:$D$45,$P13,$J$9:$J$45)</f>
        <v>212.7</v>
      </c>
      <c r="R13" s="229">
        <f>SUMIF($D$9:$D$45,$P13,$K$9:$K$45)</f>
        <v>498143.39999999997</v>
      </c>
      <c r="S13" s="230">
        <f>SUMIF($D$9:$D$45,$P13,$L$9:$L$45)</f>
        <v>0</v>
      </c>
      <c r="T13" s="105">
        <f>IF(R13=0,"-",S13/R13)</f>
        <v>0</v>
      </c>
      <c r="U13" s="231">
        <f>SUMIF($D$9:$D$45,$P13,$M$9:$M$45)</f>
        <v>0</v>
      </c>
      <c r="V13" s="231">
        <f>SUMIF($D$9:$D$45,$P13,$N$9:$N$45)</f>
        <v>0</v>
      </c>
    </row>
    <row r="14" spans="1:22" ht="42.75">
      <c r="A14" s="134" t="s">
        <v>69</v>
      </c>
      <c r="B14" s="134" t="s">
        <v>70</v>
      </c>
      <c r="C14" s="135" t="s">
        <v>71</v>
      </c>
      <c r="D14" s="95" t="s">
        <v>50</v>
      </c>
      <c r="E14" s="136" t="s">
        <v>72</v>
      </c>
      <c r="F14" s="137">
        <v>0</v>
      </c>
      <c r="G14" s="137">
        <v>0.1</v>
      </c>
      <c r="H14" s="137">
        <v>0.05</v>
      </c>
      <c r="I14" s="138">
        <v>1857.6</v>
      </c>
      <c r="J14" s="139">
        <v>9</v>
      </c>
      <c r="K14" s="140">
        <f>IF(J14="-",0,I14*J14)</f>
        <v>16718.399999999998</v>
      </c>
      <c r="L14" s="141">
        <f>IF(H14="-","-",K14*H14)</f>
        <v>835.92</v>
      </c>
      <c r="M14" s="142">
        <f>IF($H14="-","-",(($K14/(-0.8+1)*((1/(1-$H14))^(-0.8+1)-1))))</f>
        <v>861.9555073049137</v>
      </c>
      <c r="N14" s="142">
        <f>IF($H14="-","-",(($K14/(-1.2+1)*((1/(1-$H14))^(-1.2+1)-1))))</f>
        <v>853.1582012212571</v>
      </c>
      <c r="O14" s="57"/>
      <c r="P14" s="113" t="s">
        <v>64</v>
      </c>
      <c r="Q14" s="114">
        <f>SUMIF($D$9:$D$45,$P14,$K$9:$K$45)/SUMIF($D$9:$D$45,$P14,$J$9:$J$45)</f>
        <v>31.2</v>
      </c>
      <c r="R14" s="245">
        <f>SUMIF($D$9:$D$45,$P14,$K$9:$K$45)</f>
        <v>8736</v>
      </c>
      <c r="S14" s="246">
        <f>SUMIF($D$9:$D$45,$P14,$L$9:$L$45)</f>
        <v>0</v>
      </c>
      <c r="T14" s="117">
        <f>IF(R14=0,"-",S14/R14)</f>
        <v>0</v>
      </c>
      <c r="U14" s="247">
        <f>SUMIF($D$9:$D$45,$P14,$M$9:$M$45)</f>
        <v>0</v>
      </c>
      <c r="V14" s="247">
        <f>SUMIF($D$9:$D$45,$P14,$N$9:$N$45)</f>
        <v>0</v>
      </c>
    </row>
    <row r="15" spans="1:22" ht="29.25">
      <c r="A15" s="85" t="s">
        <v>73</v>
      </c>
      <c r="B15" s="85" t="s">
        <v>74</v>
      </c>
      <c r="C15" s="86" t="s">
        <v>75</v>
      </c>
      <c r="D15" s="87" t="s">
        <v>48</v>
      </c>
      <c r="E15" s="88" t="s">
        <v>72</v>
      </c>
      <c r="F15" s="89">
        <v>0</v>
      </c>
      <c r="G15" s="89">
        <v>0.1</v>
      </c>
      <c r="H15" s="89">
        <v>0.05</v>
      </c>
      <c r="I15" s="90">
        <v>1536</v>
      </c>
      <c r="J15" s="91">
        <v>52</v>
      </c>
      <c r="K15" s="92">
        <f>IF(J15="-",0,I15*J15)</f>
        <v>79872</v>
      </c>
      <c r="L15" s="93">
        <f>IF(H15="-","-",K15*H15)</f>
        <v>3993.6000000000004</v>
      </c>
      <c r="M15" s="94">
        <f>IF($H15="-","-",(($K15/(-0.8+1)*((1/(1-$H15))^(-0.8+1)-1))))</f>
        <v>4117.984393210958</v>
      </c>
      <c r="N15" s="94">
        <f>IF($H15="-","-",(($K15/(-1.2+1)*((1/(1-$H15))^(-1.2+1)-1))))</f>
        <v>4075.9553454842717</v>
      </c>
      <c r="O15" s="57"/>
      <c r="P15" s="49" t="s">
        <v>34</v>
      </c>
      <c r="Q15" s="129">
        <f>SUMIF($D$9:$D$45,$P15,$K$9:$K$45)/SUMIF($D$9:$D$45,$P15,$J$9:$J$45)</f>
        <v>1504.4499999999998</v>
      </c>
      <c r="R15" s="232">
        <f>SUMIF($D$9:$D$45,$P15,$K$9:$K$45)</f>
        <v>36106.799999999996</v>
      </c>
      <c r="S15" s="233">
        <f>SUMIF($D$9:$D$45,$P15,$L$9:$L$45)</f>
        <v>4471.35</v>
      </c>
      <c r="T15" s="132">
        <f>IF(R15=0,"-",S15/R15)</f>
        <v>0.12383678420685303</v>
      </c>
      <c r="U15" s="234">
        <f>SUMIF($D$9:$D$45,$P15,$M$9:$M$45)</f>
        <v>8035.8473637126135</v>
      </c>
      <c r="V15" s="234">
        <f>SUMIF($D$9:$D$45,$P15,$N$9:$N$45)</f>
        <v>6513.963006811644</v>
      </c>
    </row>
    <row r="16" spans="1:22" ht="42.75">
      <c r="A16" s="85" t="s">
        <v>81</v>
      </c>
      <c r="B16" s="85" t="s">
        <v>82</v>
      </c>
      <c r="C16" s="86" t="s">
        <v>83</v>
      </c>
      <c r="D16" s="87" t="s">
        <v>48</v>
      </c>
      <c r="E16" s="88" t="s">
        <v>49</v>
      </c>
      <c r="F16" s="89" t="str">
        <f>IF(E16="No aumenta",0,IF(E16="Pequeña",0,IF(E16="Moderada",0.1,IF(E16="Grande",0.4,IF(E16="Esencial",0.9,"-")))))</f>
        <v>-</v>
      </c>
      <c r="G16" s="89" t="str">
        <f>IF(E16="No aumenta",0,IF(E16="Pequeña",0.1,IF(E16="Moderada",0.4,IF(E16="Grande",0.9,IF(E16="Esencial",1,"-")))))</f>
        <v>-</v>
      </c>
      <c r="H16" s="89" t="str">
        <f>IF(F16="-","-",AVERAGE(F16:G16))</f>
        <v>-</v>
      </c>
      <c r="I16" s="90">
        <v>247</v>
      </c>
      <c r="J16" s="91">
        <v>184</v>
      </c>
      <c r="K16" s="92">
        <f>IF(J16="-",0,I16*J16)</f>
        <v>45448</v>
      </c>
      <c r="L16" s="93" t="str">
        <f>IF(H16="-","-",K16*H16)</f>
        <v>-</v>
      </c>
      <c r="M16" s="94" t="str">
        <f>IF($H16="-","-",(($K16/(-0.8+1)*((1/(1-$H16))^(-0.8+1)-1))))</f>
        <v>-</v>
      </c>
      <c r="N16" s="94" t="str">
        <f>IF($H16="-","-",(($K16/(-1.2+1)*((1/(1-$H16))^(-1.2+1)-1))))</f>
        <v>-</v>
      </c>
      <c r="O16" s="57"/>
      <c r="P16" s="87" t="s">
        <v>48</v>
      </c>
      <c r="Q16" s="143">
        <f>SUMIF($D$9:$D$45,$P16,$K$9:$K$45)/SUMIF($D$9:$D$45,$P16,$J$9:$J$45)</f>
        <v>445.010390324354</v>
      </c>
      <c r="R16" s="235">
        <f>SUMIF($D$9:$D$45,$P16,$K$9:$K$45)</f>
        <v>809473.8999999999</v>
      </c>
      <c r="S16" s="236">
        <f>SUMIF($D$9:$D$45,$P16,$L$9:$L$45)</f>
        <v>45002.96</v>
      </c>
      <c r="T16" s="146">
        <f>IF(R16=0,"-",S16/R16)</f>
        <v>0.055595319379661286</v>
      </c>
      <c r="U16" s="237">
        <f>SUMIF($D$9:$D$45,$P16,$M$9:$M$45)</f>
        <v>110521.0468945617</v>
      </c>
      <c r="V16" s="237">
        <f>SUMIF($D$9:$D$45,$P16,$N$9:$N$45)</f>
        <v>72556.24706271499</v>
      </c>
    </row>
    <row r="17" spans="1:22" ht="42.75">
      <c r="A17" s="85" t="s">
        <v>84</v>
      </c>
      <c r="B17" s="85" t="s">
        <v>85</v>
      </c>
      <c r="C17" s="86" t="s">
        <v>86</v>
      </c>
      <c r="D17" s="87" t="s">
        <v>48</v>
      </c>
      <c r="E17" s="88" t="s">
        <v>49</v>
      </c>
      <c r="F17" s="89" t="str">
        <f>IF(E17="No aumenta",0,IF(E17="Pequeña",0,IF(E17="Moderada",0.1,IF(E17="Grande",0.4,IF(E17="Esencial",0.9,"-")))))</f>
        <v>-</v>
      </c>
      <c r="G17" s="89" t="str">
        <f>IF(E17="No aumenta",0,IF(E17="Pequeña",0.1,IF(E17="Moderada",0.4,IF(E17="Grande",0.9,IF(E17="Esencial",1,"-")))))</f>
        <v>-</v>
      </c>
      <c r="H17" s="89" t="str">
        <f>IF(F17="-","-",AVERAGE(F17:G17))</f>
        <v>-</v>
      </c>
      <c r="I17" s="90">
        <v>283.4</v>
      </c>
      <c r="J17" s="91">
        <v>101</v>
      </c>
      <c r="K17" s="92">
        <f>IF(J17="-",0,I17*J17)</f>
        <v>28623.399999999998</v>
      </c>
      <c r="L17" s="93" t="str">
        <f>IF(H17="-","-",K17*H17)</f>
        <v>-</v>
      </c>
      <c r="M17" s="94" t="str">
        <f>IF($H17="-","-",(($K17/(-0.8+1)*((1/(1-$H17))^(-0.8+1)-1))))</f>
        <v>-</v>
      </c>
      <c r="N17" s="94" t="str">
        <f>IF($H17="-","-",(($K17/(-1.2+1)*((1/(1-$H17))^(-1.2+1)-1))))</f>
        <v>-</v>
      </c>
      <c r="O17" s="57"/>
      <c r="P17" s="57"/>
      <c r="Q17" s="57"/>
      <c r="R17" s="238"/>
      <c r="S17" s="239"/>
      <c r="T17" s="150"/>
      <c r="U17" s="240"/>
      <c r="V17" s="240"/>
    </row>
    <row r="18" spans="1:22" ht="42.75">
      <c r="A18" s="85" t="s">
        <v>250</v>
      </c>
      <c r="B18" s="85" t="s">
        <v>88</v>
      </c>
      <c r="C18" s="86" t="s">
        <v>83</v>
      </c>
      <c r="D18" s="87" t="s">
        <v>48</v>
      </c>
      <c r="E18" s="88" t="s">
        <v>49</v>
      </c>
      <c r="F18" s="89" t="str">
        <f>IF(E18="No aumenta",0,IF(E18="Pequeña",0,IF(E18="Moderada",0.1,IF(E18="Grande",0.4,IF(E18="Esencial",0.9,"-")))))</f>
        <v>-</v>
      </c>
      <c r="G18" s="89" t="str">
        <f>IF(E18="No aumenta",0,IF(E18="Pequeña",0.1,IF(E18="Moderada",0.4,IF(E18="Grande",0.9,IF(E18="Esencial",1,"-")))))</f>
        <v>-</v>
      </c>
      <c r="H18" s="89" t="str">
        <f>IF(F18="-","-",AVERAGE(F18:G18))</f>
        <v>-</v>
      </c>
      <c r="I18" s="90">
        <v>325.3</v>
      </c>
      <c r="J18" s="91">
        <v>168</v>
      </c>
      <c r="K18" s="92">
        <f>IF(J18="-",0,I18*J18)</f>
        <v>54650.4</v>
      </c>
      <c r="L18" s="93" t="str">
        <f>IF(H18="-","-",K18*H18)</f>
        <v>-</v>
      </c>
      <c r="M18" s="94" t="str">
        <f>IF($H18="-","-",(($K18/(-0.8+1)*((1/(1-$H18))^(-0.8+1)-1))))</f>
        <v>-</v>
      </c>
      <c r="N18" s="94" t="str">
        <f>IF($H18="-","-",(($K18/(-1.2+1)*((1/(1-$H18))^(-1.2+1)-1))))</f>
        <v>-</v>
      </c>
      <c r="O18" s="57"/>
      <c r="P18" s="152" t="s">
        <v>80</v>
      </c>
      <c r="Q18" s="152"/>
      <c r="R18" s="241">
        <f>SUM(R9:R16)</f>
        <v>2878108.1999999997</v>
      </c>
      <c r="S18" s="242">
        <f>SUM(S9:S16)</f>
        <v>321740.3</v>
      </c>
      <c r="T18" s="155">
        <f>IF(R18=0,"-",S18/R18)</f>
        <v>0.11178881322112907</v>
      </c>
      <c r="U18" s="243">
        <f>SUM(U9:U16)</f>
        <v>624425.5461529603</v>
      </c>
      <c r="V18" s="243">
        <f>SUM(V9:V16)</f>
        <v>477120.4397724655</v>
      </c>
    </row>
    <row r="19" spans="1:15" ht="29.25">
      <c r="A19" s="64" t="s">
        <v>246</v>
      </c>
      <c r="B19" s="64" t="s">
        <v>90</v>
      </c>
      <c r="C19" s="65" t="s">
        <v>91</v>
      </c>
      <c r="D19" s="66" t="s">
        <v>40</v>
      </c>
      <c r="E19" s="67" t="s">
        <v>35</v>
      </c>
      <c r="F19" s="68">
        <f>IF(E19="No aumenta",0,IF(E19="Pequeña",0,IF(E19="Moderada",0.1,IF(E19="Grande",0.4,IF(E19="Esencial",0.9,"-")))))</f>
        <v>0.4</v>
      </c>
      <c r="G19" s="68">
        <f>IF(E19="No aumenta",0,IF(E19="Pequeña",0.1,IF(E19="Moderada",0.4,IF(E19="Grande",0.9,IF(E19="Esencial",1,"-")))))</f>
        <v>0.9</v>
      </c>
      <c r="H19" s="68">
        <f>IF(F19="-","-",AVERAGE(F19:G19))</f>
        <v>0.65</v>
      </c>
      <c r="I19" s="69">
        <v>1344.2</v>
      </c>
      <c r="J19" s="70">
        <v>18</v>
      </c>
      <c r="K19" s="71">
        <f>IF(J19="-",0,I19*J19)</f>
        <v>24195.600000000002</v>
      </c>
      <c r="L19" s="72">
        <f>IF(H19="-","-",K19*H19)</f>
        <v>15727.140000000001</v>
      </c>
      <c r="M19" s="73">
        <f>IF($H19="-","-",(($K19/(-0.8+1)*((1/(1-$H19))^(-0.8+1)-1))))</f>
        <v>28264.59492272786</v>
      </c>
      <c r="N19" s="73">
        <f>IF($H19="-","-",(($K19/(-1.2+1)*((1/(1-$H19))^(-1.2+1)-1))))</f>
        <v>22911.65043285533</v>
      </c>
      <c r="O19" s="57"/>
    </row>
    <row r="20" spans="1:15" ht="29.25">
      <c r="A20" s="85" t="s">
        <v>101</v>
      </c>
      <c r="B20" s="85" t="s">
        <v>102</v>
      </c>
      <c r="C20" s="86" t="s">
        <v>100</v>
      </c>
      <c r="D20" s="87" t="s">
        <v>48</v>
      </c>
      <c r="E20" s="88" t="s">
        <v>72</v>
      </c>
      <c r="F20" s="89">
        <v>0</v>
      </c>
      <c r="G20" s="89">
        <v>0.1</v>
      </c>
      <c r="H20" s="89">
        <v>0.05</v>
      </c>
      <c r="I20" s="90">
        <v>708.5</v>
      </c>
      <c r="J20" s="91">
        <v>160</v>
      </c>
      <c r="K20" s="92">
        <f>IF(J20="-",0,I20*J20)</f>
        <v>113360</v>
      </c>
      <c r="L20" s="93">
        <f>IF(H20="-","-",K20*H20)</f>
        <v>5668</v>
      </c>
      <c r="M20" s="94">
        <f>IF($H20="-","-",(($K20/(-0.8+1)*((1/(1-$H20))^(-0.8+1)-1))))</f>
        <v>5844.535141406177</v>
      </c>
      <c r="N20" s="94">
        <f>IF($H20="-","-",(($K20/(-1.2+1)*((1/(1-$H20))^(-1.2+1)-1))))</f>
        <v>5784.884539814916</v>
      </c>
      <c r="O20" s="57"/>
    </row>
    <row r="21" spans="1:15" ht="29.25">
      <c r="A21" s="85" t="s">
        <v>103</v>
      </c>
      <c r="B21" s="85" t="s">
        <v>104</v>
      </c>
      <c r="C21" s="86" t="s">
        <v>105</v>
      </c>
      <c r="D21" s="87" t="s">
        <v>48</v>
      </c>
      <c r="E21" s="88" t="s">
        <v>35</v>
      </c>
      <c r="F21" s="89">
        <v>0.4</v>
      </c>
      <c r="G21" s="89">
        <v>0.9</v>
      </c>
      <c r="H21" s="89">
        <v>0.65</v>
      </c>
      <c r="I21" s="90">
        <v>371.5</v>
      </c>
      <c r="J21" s="91">
        <f>6+2</f>
        <v>8</v>
      </c>
      <c r="K21" s="92">
        <f>IF(J21="-",0,I21*J21)</f>
        <v>2972</v>
      </c>
      <c r="L21" s="93">
        <f>IF(H21="-","-",K21*H21)</f>
        <v>1931.8</v>
      </c>
      <c r="M21" s="94">
        <f>IF($H21="-","-",(($K21/(-0.8+1)*((1/(1-$H21))^(-0.8+1)-1))))</f>
        <v>3471.803803598472</v>
      </c>
      <c r="N21" s="94">
        <f>IF($H21="-","-",(($K21/(-1.2+1)*((1/(1-$H21))^(-1.2+1)-1))))</f>
        <v>2814.2895851496155</v>
      </c>
      <c r="O21" s="57"/>
    </row>
    <row r="22" spans="1:15" ht="29.25">
      <c r="A22" s="85" t="s">
        <v>106</v>
      </c>
      <c r="B22" s="85" t="s">
        <v>107</v>
      </c>
      <c r="C22" s="86" t="s">
        <v>108</v>
      </c>
      <c r="D22" s="87" t="s">
        <v>48</v>
      </c>
      <c r="E22" s="88" t="s">
        <v>79</v>
      </c>
      <c r="F22" s="89">
        <v>0.1</v>
      </c>
      <c r="G22" s="89">
        <v>0.4</v>
      </c>
      <c r="H22" s="89">
        <v>0.25</v>
      </c>
      <c r="I22" s="90">
        <v>524.4</v>
      </c>
      <c r="J22" s="91">
        <v>7</v>
      </c>
      <c r="K22" s="92">
        <f>IF(J22="-",0,I22*J22)</f>
        <v>3670.7999999999997</v>
      </c>
      <c r="L22" s="93">
        <f>IF(H22="-","-",K22*H22)</f>
        <v>917.6999999999999</v>
      </c>
      <c r="M22" s="94">
        <f>IF($H22="-","-",(($K22/(-0.8+1)*((1/(1-$H22))^(-0.8+1)-1))))</f>
        <v>1086.9943786098988</v>
      </c>
      <c r="N22" s="94">
        <f>IF($H22="-","-",(($K22/(-1.2+1)*((1/(1-$H22))^(-1.2+1)-1))))</f>
        <v>1026.2178176933692</v>
      </c>
      <c r="O22" s="57"/>
    </row>
    <row r="23" spans="1:15" ht="16.5">
      <c r="A23" s="64" t="s">
        <v>109</v>
      </c>
      <c r="B23" s="64" t="s">
        <v>110</v>
      </c>
      <c r="C23" s="65" t="s">
        <v>111</v>
      </c>
      <c r="D23" s="66" t="s">
        <v>40</v>
      </c>
      <c r="E23" s="67" t="s">
        <v>79</v>
      </c>
      <c r="F23" s="68">
        <f>IF(E23="No aumenta",0,IF(E23="Pequeña",0,IF(E23="Moderada",0.1,IF(E23="Grande",0.4,IF(E23="Esencial",0.9,"-")))))</f>
        <v>0.1</v>
      </c>
      <c r="G23" s="68">
        <f>IF(E23="No aumenta",0,IF(E23="Pequeña",0.1,IF(E23="Moderada",0.4,IF(E23="Grande",0.9,IF(E23="Esencial",1,"-")))))</f>
        <v>0.4</v>
      </c>
      <c r="H23" s="68">
        <f>IF(F23="-","-",AVERAGE(F23:G23))</f>
        <v>0.25</v>
      </c>
      <c r="I23" s="69">
        <v>1167.4</v>
      </c>
      <c r="J23" s="70">
        <v>20</v>
      </c>
      <c r="K23" s="71">
        <f>IF(J23="-",0,I23*J23)</f>
        <v>23348</v>
      </c>
      <c r="L23" s="72">
        <f>IF(H23="-","-",K23*H23)</f>
        <v>5837</v>
      </c>
      <c r="M23" s="73">
        <f>IF($H23="-","-",(($K23/(-0.8+1)*((1/(1-$H23))^(-0.8+1)-1))))</f>
        <v>6913.791204038335</v>
      </c>
      <c r="N23" s="73">
        <f>IF($H23="-","-",(($K23/(-1.2+1)*((1/(1-$H23))^(-1.2+1)-1))))</f>
        <v>6527.223931433145</v>
      </c>
      <c r="O23" s="57"/>
    </row>
    <row r="24" spans="1:15" ht="42.75">
      <c r="A24" s="85" t="s">
        <v>112</v>
      </c>
      <c r="B24" s="85" t="s">
        <v>113</v>
      </c>
      <c r="C24" s="86" t="s">
        <v>114</v>
      </c>
      <c r="D24" s="87" t="s">
        <v>48</v>
      </c>
      <c r="E24" s="88" t="s">
        <v>62</v>
      </c>
      <c r="F24" s="89" t="s">
        <v>63</v>
      </c>
      <c r="G24" s="89" t="s">
        <v>63</v>
      </c>
      <c r="H24" s="89" t="s">
        <v>63</v>
      </c>
      <c r="I24" s="90">
        <v>1879.1</v>
      </c>
      <c r="J24" s="91">
        <v>41</v>
      </c>
      <c r="K24" s="92">
        <f>IF(J24="-",0,I24*J24)</f>
        <v>77043.09999999999</v>
      </c>
      <c r="L24" s="93" t="str">
        <f>IF(H24="-","-",K24*H24)</f>
        <v>-</v>
      </c>
      <c r="M24" s="94" t="str">
        <f>IF($H24="-","-",(($K24/(-0.8+1)*((1/(1-$H24))^(-0.8+1)-1))))</f>
        <v>-</v>
      </c>
      <c r="N24" s="94" t="str">
        <f>IF($H24="-","-",(($K24/(-1.2+1)*((1/(1-$H24))^(-1.2+1)-1))))</f>
        <v>-</v>
      </c>
      <c r="O24" s="57"/>
    </row>
    <row r="25" spans="1:15" ht="16.5">
      <c r="A25" s="64" t="s">
        <v>118</v>
      </c>
      <c r="B25" s="64" t="s">
        <v>119</v>
      </c>
      <c r="C25" s="65" t="s">
        <v>120</v>
      </c>
      <c r="D25" s="66" t="s">
        <v>40</v>
      </c>
      <c r="E25" s="67" t="s">
        <v>68</v>
      </c>
      <c r="F25" s="68">
        <f>IF(E25="No aumenta",0,IF(E25="Pequeña",0,IF(E25="Moderada",0.1,IF(E25="Grande",0.4,IF(E25="Esencial",0.9,"-")))))</f>
        <v>0</v>
      </c>
      <c r="G25" s="68">
        <f>IF(E25="No aumenta",0,IF(E25="Pequeña",0.1,IF(E25="Moderada",0.4,IF(E25="Grande",0.9,IF(E25="Esencial",1,"-")))))</f>
        <v>0</v>
      </c>
      <c r="H25" s="68">
        <f>IF(F25="-","-",AVERAGE(F25:G25))</f>
        <v>0</v>
      </c>
      <c r="I25" s="69">
        <v>601</v>
      </c>
      <c r="J25" s="70">
        <v>428</v>
      </c>
      <c r="K25" s="71">
        <f>IF(J25="-",0,I25*J25)</f>
        <v>257228</v>
      </c>
      <c r="L25" s="72">
        <f>IF(H25="-","-",K25*H25)</f>
        <v>0</v>
      </c>
      <c r="M25" s="73">
        <f>IF($H25="-","-",(($K25/(-0.8+1)*((1/(1-$H25))^(-0.8+1)-1))))</f>
        <v>0</v>
      </c>
      <c r="N25" s="73">
        <f>IF($H25="-","-",(($K25/(-1.2+1)*((1/(1-$H25))^(-1.2+1)-1))))</f>
        <v>0</v>
      </c>
      <c r="O25" s="57"/>
    </row>
    <row r="26" spans="1:15" ht="16.5">
      <c r="A26" s="64" t="s">
        <v>127</v>
      </c>
      <c r="B26" s="64" t="s">
        <v>128</v>
      </c>
      <c r="C26" s="65" t="s">
        <v>129</v>
      </c>
      <c r="D26" s="171" t="s">
        <v>40</v>
      </c>
      <c r="E26" s="67" t="s">
        <v>130</v>
      </c>
      <c r="F26" s="68">
        <f>IF(E26="No aumenta",0,IF(E26="Pequeña",0,IF(E26="Moderada",0.1,IF(E26="Grande",0.4,IF(E26="Esencial",0.9,"-")))))</f>
        <v>0.9</v>
      </c>
      <c r="G26" s="68">
        <f>IF(E26="No aumenta",0,IF(E26="Pequeña",0.1,IF(E26="Moderada",0.4,IF(E26="Grande",0.9,IF(E26="Esencial",1,"-")))))</f>
        <v>1</v>
      </c>
      <c r="H26" s="68">
        <f>IF(F26="-","-",AVERAGE(F26:G26))</f>
        <v>0.95</v>
      </c>
      <c r="I26" s="69">
        <v>706</v>
      </c>
      <c r="J26" s="70">
        <v>24</v>
      </c>
      <c r="K26" s="71">
        <f>IF(J26="-",0,I26*J26)</f>
        <v>16944</v>
      </c>
      <c r="L26" s="72">
        <f>IF(H26="-","-",K26*H26)</f>
        <v>16096.8</v>
      </c>
      <c r="M26" s="73">
        <f>IF($H26="-","-",(($K26/(-0.8+1)*((1/(1-$H26))^(-0.8+1)-1))))</f>
        <v>69518.19928036949</v>
      </c>
      <c r="N26" s="73">
        <f>IF($H26="-","-",(($K26/(-1.2+1)*((1/(1-$H26))^(-1.2+1)-1))))</f>
        <v>38184.97538555285</v>
      </c>
      <c r="O26" s="57"/>
    </row>
    <row r="27" spans="1:15" ht="29.25">
      <c r="A27" s="64" t="s">
        <v>131</v>
      </c>
      <c r="B27" s="64" t="s">
        <v>132</v>
      </c>
      <c r="C27" s="65" t="s">
        <v>133</v>
      </c>
      <c r="D27" s="66" t="s">
        <v>40</v>
      </c>
      <c r="E27" s="67" t="s">
        <v>72</v>
      </c>
      <c r="F27" s="68">
        <v>0</v>
      </c>
      <c r="G27" s="68">
        <v>0.1</v>
      </c>
      <c r="H27" s="68">
        <v>0.05</v>
      </c>
      <c r="I27" s="69">
        <v>164.4</v>
      </c>
      <c r="J27" s="70">
        <v>325</v>
      </c>
      <c r="K27" s="71">
        <f>IF(J27="-",0,I27*J27)</f>
        <v>53430</v>
      </c>
      <c r="L27" s="72">
        <f>IF(H27="-","-",K27*H27)</f>
        <v>2671.5</v>
      </c>
      <c r="M27" s="73">
        <f>IF($H27="-","-",(($K27/(-0.8+1)*((1/(1-$H27))^(-0.8+1)-1))))</f>
        <v>2754.7063567866267</v>
      </c>
      <c r="N27" s="73">
        <f>IF($H27="-","-",(($K27/(-1.2+1)*((1/(1-$H27))^(-1.2+1)-1))))</f>
        <v>2726.5912223210216</v>
      </c>
      <c r="O27" s="57"/>
    </row>
    <row r="28" spans="1:15" ht="42.75">
      <c r="A28" s="85" t="s">
        <v>137</v>
      </c>
      <c r="B28" s="85" t="s">
        <v>138</v>
      </c>
      <c r="C28" s="86" t="s">
        <v>139</v>
      </c>
      <c r="D28" s="87" t="s">
        <v>48</v>
      </c>
      <c r="E28" s="88" t="s">
        <v>49</v>
      </c>
      <c r="F28" s="89" t="str">
        <f>IF(E28="No aumenta",0,IF(E28="Pequeña",0,IF(E28="Moderada",0.1,IF(E28="Grande",0.4,IF(E28="Esencial",0.9,"-")))))</f>
        <v>-</v>
      </c>
      <c r="G28" s="89" t="str">
        <f>IF(E28="No aumenta",0,IF(E28="Pequeña",0.1,IF(E28="Moderada",0.4,IF(E28="Grande",0.9,IF(E28="Esencial",1,"-")))))</f>
        <v>-</v>
      </c>
      <c r="H28" s="89" t="str">
        <f>IF(F28="-","-",AVERAGE(F28:G28))</f>
        <v>-</v>
      </c>
      <c r="I28" s="90">
        <v>300</v>
      </c>
      <c r="J28" s="91">
        <v>160</v>
      </c>
      <c r="K28" s="92">
        <f>IF(J28="-",0,I28*J28)</f>
        <v>48000</v>
      </c>
      <c r="L28" s="93" t="str">
        <f>IF(H28="-","-",K28*H28)</f>
        <v>-</v>
      </c>
      <c r="M28" s="94" t="str">
        <f>IF($H28="-","-",(($K28/(-0.8+1)*((1/(1-$H28))^(-0.8+1)-1))))</f>
        <v>-</v>
      </c>
      <c r="N28" s="94" t="str">
        <f>IF($H28="-","-",(($K28/(-1.2+1)*((1/(1-$H28))^(-1.2+1)-1))))</f>
        <v>-</v>
      </c>
      <c r="O28" s="57"/>
    </row>
    <row r="29" spans="1:15" ht="16.5">
      <c r="A29" s="119" t="s">
        <v>143</v>
      </c>
      <c r="B29" s="119" t="s">
        <v>144</v>
      </c>
      <c r="C29" s="120" t="s">
        <v>145</v>
      </c>
      <c r="D29" s="121" t="s">
        <v>36</v>
      </c>
      <c r="E29" s="122" t="s">
        <v>68</v>
      </c>
      <c r="F29" s="123">
        <v>0</v>
      </c>
      <c r="G29" s="123">
        <v>0</v>
      </c>
      <c r="H29" s="123">
        <v>0</v>
      </c>
      <c r="I29" s="124">
        <v>216.9</v>
      </c>
      <c r="J29" s="125">
        <v>1353</v>
      </c>
      <c r="K29" s="126">
        <f>IF(J29="-",0,I29*J29)</f>
        <v>293465.7</v>
      </c>
      <c r="L29" s="127">
        <f>IF(H29="-","-",K29*H29)</f>
        <v>0</v>
      </c>
      <c r="M29" s="128">
        <f>IF($H29="-","-",(($K29/(-0.8+1)*((1/(1-$H29))^(-0.8+1)-1))))</f>
        <v>0</v>
      </c>
      <c r="N29" s="128">
        <f>IF($H29="-","-",(($K29/(-1.2+1)*((1/(1-$H29))^(-1.2+1)-1))))</f>
        <v>0</v>
      </c>
      <c r="O29" s="57"/>
    </row>
    <row r="30" spans="1:15" ht="42.75">
      <c r="A30" s="85" t="s">
        <v>158</v>
      </c>
      <c r="B30" s="85" t="s">
        <v>159</v>
      </c>
      <c r="C30" s="86" t="s">
        <v>157</v>
      </c>
      <c r="D30" s="87" t="s">
        <v>48</v>
      </c>
      <c r="E30" s="88" t="s">
        <v>49</v>
      </c>
      <c r="F30" s="89" t="s">
        <v>63</v>
      </c>
      <c r="G30" s="89" t="s">
        <v>63</v>
      </c>
      <c r="H30" s="89" t="s">
        <v>63</v>
      </c>
      <c r="I30" s="90">
        <v>174.9</v>
      </c>
      <c r="J30" s="91">
        <v>219</v>
      </c>
      <c r="K30" s="92">
        <f>IF(J30="-",0,I30*J30)</f>
        <v>38303.1</v>
      </c>
      <c r="L30" s="93" t="str">
        <f>IF(H30="-","-",K30*H30)</f>
        <v>-</v>
      </c>
      <c r="M30" s="94" t="str">
        <f>IF($H30="-","-",(($K30/(-0.8+1)*((1/(1-$H30))^(-0.8+1)-1))))</f>
        <v>-</v>
      </c>
      <c r="N30" s="94" t="str">
        <f>IF($H30="-","-",(($K30/(-1.2+1)*((1/(1-$H30))^(-1.2+1)-1))))</f>
        <v>-</v>
      </c>
      <c r="O30" s="57"/>
    </row>
    <row r="31" spans="1:15" ht="16.5">
      <c r="A31" s="64" t="s">
        <v>160</v>
      </c>
      <c r="B31" s="64" t="s">
        <v>161</v>
      </c>
      <c r="C31" s="65" t="s">
        <v>162</v>
      </c>
      <c r="D31" s="66" t="s">
        <v>40</v>
      </c>
      <c r="E31" s="67" t="s">
        <v>72</v>
      </c>
      <c r="F31" s="68">
        <v>0</v>
      </c>
      <c r="G31" s="68">
        <v>0.1</v>
      </c>
      <c r="H31" s="68">
        <v>0.05</v>
      </c>
      <c r="I31" s="69">
        <v>198.6</v>
      </c>
      <c r="J31" s="70">
        <v>17</v>
      </c>
      <c r="K31" s="71">
        <f>IF(J31="-",0,I31*J31)</f>
        <v>3376.2</v>
      </c>
      <c r="L31" s="72">
        <f>IF(H31="-","-",K31*H31)</f>
        <v>168.81</v>
      </c>
      <c r="M31" s="73">
        <f>IF($H31="-","-",(($K31/(-0.8+1)*((1/(1-$H31))^(-0.8+1)-1))))</f>
        <v>174.06774474607917</v>
      </c>
      <c r="N31" s="73">
        <f>IF($H31="-","-",(($K31/(-1.2+1)*((1/(1-$H31))^(-1.2+1)-1))))</f>
        <v>172.2911713419471</v>
      </c>
      <c r="O31" s="57"/>
    </row>
    <row r="32" spans="1:15" ht="42.75">
      <c r="A32" s="64" t="s">
        <v>166</v>
      </c>
      <c r="B32" s="64" t="s">
        <v>167</v>
      </c>
      <c r="C32" s="65" t="s">
        <v>168</v>
      </c>
      <c r="D32" s="66" t="s">
        <v>40</v>
      </c>
      <c r="E32" s="67" t="s">
        <v>35</v>
      </c>
      <c r="F32" s="68">
        <v>0.4</v>
      </c>
      <c r="G32" s="68">
        <v>0.9</v>
      </c>
      <c r="H32" s="68">
        <v>0.65</v>
      </c>
      <c r="I32" s="69">
        <v>532.1</v>
      </c>
      <c r="J32" s="70">
        <v>49</v>
      </c>
      <c r="K32" s="71">
        <f>IF(J32="-",0,I32*J32)</f>
        <v>26072.9</v>
      </c>
      <c r="L32" s="72">
        <f>IF(H32="-","-",K32*H32)</f>
        <v>16947.385000000002</v>
      </c>
      <c r="M32" s="73">
        <f>IF($H32="-","-",(($K32/(-0.8+1)*((1/(1-$H32))^(-0.8+1)-1))))</f>
        <v>30457.602083056056</v>
      </c>
      <c r="N32" s="73">
        <f>IF($H32="-","-",(($K32/(-1.2+1)*((1/(1-$H32))^(-1.2+1)-1))))</f>
        <v>24689.330728347042</v>
      </c>
      <c r="O32" s="57"/>
    </row>
    <row r="33" spans="1:15" ht="16.5">
      <c r="A33" s="64" t="s">
        <v>169</v>
      </c>
      <c r="B33" s="64" t="s">
        <v>170</v>
      </c>
      <c r="C33" s="65" t="s">
        <v>171</v>
      </c>
      <c r="D33" s="66" t="s">
        <v>40</v>
      </c>
      <c r="E33" s="67" t="s">
        <v>35</v>
      </c>
      <c r="F33" s="68">
        <v>0.4</v>
      </c>
      <c r="G33" s="68">
        <v>0.9</v>
      </c>
      <c r="H33" s="68">
        <v>0.65</v>
      </c>
      <c r="I33" s="69">
        <v>427.4</v>
      </c>
      <c r="J33" s="70">
        <v>320</v>
      </c>
      <c r="K33" s="71">
        <f>IF(J33="-",0,I33*J33)</f>
        <v>136768</v>
      </c>
      <c r="L33" s="72">
        <f>IF(H33="-","-",K33*H33)</f>
        <v>88899.2</v>
      </c>
      <c r="M33" s="73">
        <f>IF($H33="-","-",(($K33/(-0.8+1)*((1/(1-$H33))^(-0.8+1)-1))))</f>
        <v>159768.39253383438</v>
      </c>
      <c r="N33" s="73">
        <f>IF($H33="-","-",(($K33/(-1.2+1)*((1/(1-$H33))^(-1.2+1)-1))))</f>
        <v>129510.34925361461</v>
      </c>
      <c r="O33" s="57"/>
    </row>
    <row r="34" spans="1:15" ht="29.25">
      <c r="A34" s="64" t="s">
        <v>177</v>
      </c>
      <c r="B34" s="64" t="s">
        <v>178</v>
      </c>
      <c r="C34" s="65" t="s">
        <v>179</v>
      </c>
      <c r="D34" s="66" t="s">
        <v>40</v>
      </c>
      <c r="E34" s="67" t="s">
        <v>35</v>
      </c>
      <c r="F34" s="68">
        <v>0.4</v>
      </c>
      <c r="G34" s="68">
        <v>0.9</v>
      </c>
      <c r="H34" s="68">
        <v>0.65</v>
      </c>
      <c r="I34" s="69">
        <v>471.3</v>
      </c>
      <c r="J34" s="70">
        <v>13</v>
      </c>
      <c r="K34" s="71">
        <f>IF(J34="-",0,I34*J34)</f>
        <v>6126.900000000001</v>
      </c>
      <c r="L34" s="72">
        <f>IF(H34="-","-",K34*H34)</f>
        <v>3982.4850000000006</v>
      </c>
      <c r="M34" s="73">
        <f>IF($H34="-","-",(($K34/(-0.8+1)*((1/(1-$H34))^(-0.8+1)-1))))</f>
        <v>7157.266057963486</v>
      </c>
      <c r="N34" s="73">
        <f>IF($H34="-","-",(($K34/(-1.2+1)*((1/(1-$H34))^(-1.2+1)-1))))</f>
        <v>5801.773505805243</v>
      </c>
      <c r="O34" s="57"/>
    </row>
    <row r="35" spans="1:15" ht="42.75">
      <c r="A35" s="183" t="s">
        <v>180</v>
      </c>
      <c r="B35" s="183" t="s">
        <v>181</v>
      </c>
      <c r="C35" s="184" t="s">
        <v>182</v>
      </c>
      <c r="D35" s="101" t="s">
        <v>54</v>
      </c>
      <c r="E35" s="185" t="s">
        <v>62</v>
      </c>
      <c r="F35" s="186" t="s">
        <v>63</v>
      </c>
      <c r="G35" s="186" t="s">
        <v>63</v>
      </c>
      <c r="H35" s="186" t="s">
        <v>63</v>
      </c>
      <c r="I35" s="187">
        <v>212.7</v>
      </c>
      <c r="J35" s="188">
        <v>2342</v>
      </c>
      <c r="K35" s="189">
        <f>IF(J35="-",0,I35*J35)</f>
        <v>498143.39999999997</v>
      </c>
      <c r="L35" s="190" t="str">
        <f>IF(H35="-","-",K35*H35)</f>
        <v>-</v>
      </c>
      <c r="M35" s="191" t="str">
        <f>IF($H35="-","-",(($K35/(-0.8+1)*((1/(1-$H35))^(-0.8+1)-1))))</f>
        <v>-</v>
      </c>
      <c r="N35" s="191" t="str">
        <f>IF($H35="-","-",(($K35/(-1.2+1)*((1/(1-$H35))^(-1.2+1)-1))))</f>
        <v>-</v>
      </c>
      <c r="O35" s="57"/>
    </row>
    <row r="36" spans="1:15" ht="42.75">
      <c r="A36" s="85" t="s">
        <v>251</v>
      </c>
      <c r="B36" s="85" t="s">
        <v>184</v>
      </c>
      <c r="C36" s="86" t="s">
        <v>185</v>
      </c>
      <c r="D36" s="87" t="s">
        <v>48</v>
      </c>
      <c r="E36" s="88" t="s">
        <v>130</v>
      </c>
      <c r="F36" s="89">
        <f>IF(E36="No aumenta",0,IF(E36="Pequeña",0,IF(E36="Moderada",0.1,IF(E36="Grande",0.4,IF(E36="Esencial",0.9,"-")))))</f>
        <v>0.9</v>
      </c>
      <c r="G36" s="89">
        <f>IF(E36="No aumenta",0,IF(E36="Pequeña",0.1,IF(E36="Moderada",0.4,IF(E36="Grande",0.9,IF(E36="Esencial",1,"-")))))</f>
        <v>1</v>
      </c>
      <c r="H36" s="89">
        <f>IF(F36="-","-",AVERAGE(F36:G36))</f>
        <v>0.95</v>
      </c>
      <c r="I36" s="90">
        <v>333.5</v>
      </c>
      <c r="J36" s="91">
        <f>20+40</f>
        <v>60</v>
      </c>
      <c r="K36" s="92">
        <f>IF(J36="-",0,I36*J36)</f>
        <v>20010</v>
      </c>
      <c r="L36" s="93">
        <f>IF(H36="-","-",K36*H36)</f>
        <v>19009.5</v>
      </c>
      <c r="M36" s="94">
        <f>IF($H36="-","-",(($K36/(-0.8+1)*((1/(1-$H36))^(-0.8+1)-1))))</f>
        <v>82097.4485127593</v>
      </c>
      <c r="N36" s="94">
        <f>IF($H36="-","-",(($K36/(-1.2+1)*((1/(1-$H36))^(-1.2+1)-1))))</f>
        <v>45094.508821111456</v>
      </c>
      <c r="O36" s="57"/>
    </row>
    <row r="37" spans="1:15" ht="16.5">
      <c r="A37" s="174" t="s">
        <v>189</v>
      </c>
      <c r="B37" s="174" t="s">
        <v>190</v>
      </c>
      <c r="C37" s="193" t="s">
        <v>191</v>
      </c>
      <c r="D37" s="79" t="s">
        <v>44</v>
      </c>
      <c r="E37" s="176" t="s">
        <v>79</v>
      </c>
      <c r="F37" s="177">
        <f>IF(E37="No aumenta",0,IF(E37="Pequeña",0,IF(E37="Moderada",0.1,IF(E37="Grande",0.4,IF(E37="Esencial",0.9,"-")))))</f>
        <v>0.1</v>
      </c>
      <c r="G37" s="177">
        <f>IF(E37="No aumenta",0,IF(E37="Pequeña",0.1,IF(E37="Moderada",0.4,IF(E37="Grande",0.9,IF(E37="Esencial",1,"-")))))</f>
        <v>0.4</v>
      </c>
      <c r="H37" s="177">
        <f>IF(F37="-","-",AVERAGE(F37:G37))</f>
        <v>0.25</v>
      </c>
      <c r="I37" s="178">
        <v>283.3</v>
      </c>
      <c r="J37" s="179">
        <v>101</v>
      </c>
      <c r="K37" s="180">
        <f>IF(J37="-",0,I37*J37)</f>
        <v>28613.300000000003</v>
      </c>
      <c r="L37" s="181">
        <f>IF(H37="-","-",K37*H37)</f>
        <v>7153.325000000001</v>
      </c>
      <c r="M37" s="182">
        <f>IF($H37="-","-",(($K37/(-0.8+1)*((1/(1-$H37))^(-0.8+1)-1))))</f>
        <v>8472.947655409891</v>
      </c>
      <c r="N37" s="182">
        <f>IF($H37="-","-",(($K37/(-1.2+1)*((1/(1-$H37))^(-1.2+1)-1))))</f>
        <v>7999.204065327909</v>
      </c>
      <c r="O37" s="57"/>
    </row>
    <row r="38" spans="1:15" ht="16.5">
      <c r="A38" s="119" t="s">
        <v>198</v>
      </c>
      <c r="B38" s="119" t="s">
        <v>199</v>
      </c>
      <c r="C38" s="120" t="s">
        <v>200</v>
      </c>
      <c r="D38" s="121" t="s">
        <v>36</v>
      </c>
      <c r="E38" s="122" t="s">
        <v>68</v>
      </c>
      <c r="F38" s="123">
        <f>IF(E38="No aumenta",0,IF(E38="Pequeña",0,IF(E38="Moderada",0.1,IF(E38="Grande",0.4,IF(E38="Esencial",0.9,"-")))))</f>
        <v>0</v>
      </c>
      <c r="G38" s="123">
        <f>IF(E38="No aumenta",0,IF(E38="Pequeña",0.1,IF(E38="Moderada",0.4,IF(E38="Grande",0.9,IF(E38="Esencial",1,"-")))))</f>
        <v>0</v>
      </c>
      <c r="H38" s="123">
        <f>IF(F38="-","-",AVERAGE(F38:G38))</f>
        <v>0</v>
      </c>
      <c r="I38" s="124">
        <v>183.6</v>
      </c>
      <c r="J38" s="125">
        <v>120</v>
      </c>
      <c r="K38" s="126">
        <f>IF(J38="-",0,I38*J38)</f>
        <v>22032</v>
      </c>
      <c r="L38" s="127">
        <f>IF(H38="-","-",K38*H38)</f>
        <v>0</v>
      </c>
      <c r="M38" s="128">
        <f>IF($H38="-","-",(($K38/(-0.8+1)*((1/(1-$H38))^(-0.8+1)-1))))</f>
        <v>0</v>
      </c>
      <c r="N38" s="128">
        <f>IF($H38="-","-",(($K38/(-1.2+1)*((1/(1-$H38))^(-1.2+1)-1))))</f>
        <v>0</v>
      </c>
      <c r="O38" s="57"/>
    </row>
    <row r="39" spans="1:15" ht="16.5">
      <c r="A39" s="85" t="s">
        <v>213</v>
      </c>
      <c r="B39" s="85" t="s">
        <v>214</v>
      </c>
      <c r="C39" s="86" t="s">
        <v>215</v>
      </c>
      <c r="D39" s="87" t="s">
        <v>48</v>
      </c>
      <c r="E39" s="88" t="s">
        <v>68</v>
      </c>
      <c r="F39" s="89">
        <v>0</v>
      </c>
      <c r="G39" s="89">
        <v>0</v>
      </c>
      <c r="H39" s="89">
        <v>0</v>
      </c>
      <c r="I39" s="90">
        <v>508.7</v>
      </c>
      <c r="J39" s="91">
        <v>21</v>
      </c>
      <c r="K39" s="92">
        <f>IF(J39="-",0,I39*J39)</f>
        <v>10682.699999999999</v>
      </c>
      <c r="L39" s="93">
        <f>IF(H39="-","-",K39*H39)</f>
        <v>0</v>
      </c>
      <c r="M39" s="94">
        <f>IF($H39="-","-",(($K39/(-0.8+1)*((1/(1-$H39))^(-0.8+1)-1))))</f>
        <v>0</v>
      </c>
      <c r="N39" s="94">
        <f>IF($H39="-","-",(($K39/(-1.2+1)*((1/(1-$H39))^(-1.2+1)-1))))</f>
        <v>0</v>
      </c>
      <c r="O39" s="57"/>
    </row>
    <row r="40" spans="1:15" ht="16.5">
      <c r="A40" s="64" t="s">
        <v>216</v>
      </c>
      <c r="B40" s="64" t="s">
        <v>217</v>
      </c>
      <c r="C40" s="65" t="s">
        <v>218</v>
      </c>
      <c r="D40" s="66" t="s">
        <v>40</v>
      </c>
      <c r="E40" s="67" t="s">
        <v>79</v>
      </c>
      <c r="F40" s="68">
        <f>IF(E40="No aumenta",0,IF(E40="Pequeña",0,IF(E40="Moderada",0.1,IF(E40="Grande",0.4,IF(E40="Esencial",0.9,"-")))))</f>
        <v>0.1</v>
      </c>
      <c r="G40" s="68">
        <f>IF(E40="No aumenta",0,IF(E40="Pequeña",0.1,IF(E40="Moderada",0.4,IF(E40="Grande",0.9,IF(E40="Esencial",1,"-")))))</f>
        <v>0.4</v>
      </c>
      <c r="H40" s="68">
        <f>IF(F40="-","-",AVERAGE(F40:G40))</f>
        <v>0.25</v>
      </c>
      <c r="I40" s="69">
        <v>1310.8</v>
      </c>
      <c r="J40" s="70">
        <v>64</v>
      </c>
      <c r="K40" s="71">
        <f>IF(J40="-",0,I40*J40)</f>
        <v>83891.2</v>
      </c>
      <c r="L40" s="72">
        <f>IF(H40="-","-",K40*H40)</f>
        <v>20972.8</v>
      </c>
      <c r="M40" s="73">
        <f>IF($H40="-","-",(($K40/(-0.8+1)*((1/(1-$H40))^(-0.8+1)-1))))</f>
        <v>24841.795470970563</v>
      </c>
      <c r="N40" s="73">
        <f>IF($H40="-","-",(($K40/(-1.2+1)*((1/(1-$H40))^(-1.2+1)-1))))</f>
        <v>23452.828862285598</v>
      </c>
      <c r="O40" s="57"/>
    </row>
    <row r="41" spans="1:13" s="1" customFormat="1" ht="29.25">
      <c r="A41" s="197" t="s">
        <v>219</v>
      </c>
      <c r="B41" s="197" t="s">
        <v>220</v>
      </c>
      <c r="C41" s="198" t="s">
        <v>221</v>
      </c>
      <c r="D41" s="113" t="s">
        <v>64</v>
      </c>
      <c r="E41" s="199" t="s">
        <v>68</v>
      </c>
      <c r="F41" s="200">
        <f>IF(E41="No aumenta",0,IF(E41="Pequeña",0,IF(E41="Moderada",0.1,IF(E41="Grande",0.4,IF(E41="Esencial",0.9,"-")))))</f>
        <v>0</v>
      </c>
      <c r="G41" s="200">
        <f>IF(E41="No aumenta",0,IF(E41="Pequeña",0.1,IF(E41="Moderada",0.4,IF(E41="Grande",0.9,IF(E41="Esencial",1,"-")))))</f>
        <v>0</v>
      </c>
      <c r="H41" s="200">
        <f>IF(F41="-","-",AVERAGE(F41:G41))</f>
        <v>0</v>
      </c>
      <c r="I41" s="201">
        <v>31.2</v>
      </c>
      <c r="J41" s="202">
        <v>280</v>
      </c>
      <c r="K41" s="203">
        <f>IF(J41="-",0,I41*J41)</f>
        <v>8736</v>
      </c>
      <c r="L41" s="204">
        <f>IF($H41="-","-",(($K41/(-0.8+1)*((1/(1-$H41))^(-0.8+1)-1))))</f>
        <v>0</v>
      </c>
      <c r="M41" s="57"/>
    </row>
    <row r="42" spans="1:15" ht="29.25">
      <c r="A42" s="174" t="s">
        <v>222</v>
      </c>
      <c r="B42" s="174" t="s">
        <v>223</v>
      </c>
      <c r="C42" s="175" t="s">
        <v>224</v>
      </c>
      <c r="D42" s="79" t="s">
        <v>44</v>
      </c>
      <c r="E42" s="176" t="s">
        <v>79</v>
      </c>
      <c r="F42" s="177">
        <v>0.1</v>
      </c>
      <c r="G42" s="177">
        <v>0.4</v>
      </c>
      <c r="H42" s="177">
        <v>0.25</v>
      </c>
      <c r="I42" s="178">
        <v>380.1</v>
      </c>
      <c r="J42" s="179">
        <v>7</v>
      </c>
      <c r="K42" s="180">
        <f>IF(J42="-",0,I42*J42)</f>
        <v>2660.7000000000003</v>
      </c>
      <c r="L42" s="181">
        <f>IF(H42="-","-",K42*H42)</f>
        <v>665.1750000000001</v>
      </c>
      <c r="M42" s="182">
        <f>IF($H42="-","-",(($K42/(-0.8+1)*((1/(1-$H42))^(-0.8+1)-1))))</f>
        <v>787.8843693928729</v>
      </c>
      <c r="N42" s="182">
        <f>IF($H42="-","-",(($K42/(-1.2+1)*((1/(1-$H42))^(-1.2+1)-1))))</f>
        <v>743.8317934882717</v>
      </c>
      <c r="O42" s="57"/>
    </row>
    <row r="43" spans="1:15" ht="16.5">
      <c r="A43" s="85" t="s">
        <v>231</v>
      </c>
      <c r="B43" s="85" t="s">
        <v>232</v>
      </c>
      <c r="C43" s="86" t="s">
        <v>233</v>
      </c>
      <c r="D43" s="87" t="s">
        <v>48</v>
      </c>
      <c r="E43" s="88" t="s">
        <v>72</v>
      </c>
      <c r="F43" s="89">
        <v>0</v>
      </c>
      <c r="G43" s="89">
        <v>0.1</v>
      </c>
      <c r="H43" s="89">
        <v>0.05</v>
      </c>
      <c r="I43" s="90">
        <v>440.6</v>
      </c>
      <c r="J43" s="91">
        <v>612</v>
      </c>
      <c r="K43" s="92">
        <f>IF(J43="-",0,I43*J43)</f>
        <v>269647.2</v>
      </c>
      <c r="L43" s="93">
        <f>IF(H43="-","-",K43*H43)</f>
        <v>13482.36</v>
      </c>
      <c r="M43" s="94">
        <f>IF($H43="-","-",(($K43/(-0.8+1)*((1/(1-$H43))^(-0.8+1)-1))))</f>
        <v>13902.280664976886</v>
      </c>
      <c r="N43" s="94">
        <f>IF($H43="-","-",(($K43/(-1.2+1)*((1/(1-$H43))^(-1.2+1)-1))))</f>
        <v>13760.39095346137</v>
      </c>
      <c r="O43" s="57"/>
    </row>
    <row r="44" spans="1:15" ht="29.25">
      <c r="A44" s="47" t="s">
        <v>234</v>
      </c>
      <c r="B44" s="47" t="s">
        <v>235</v>
      </c>
      <c r="C44" s="48" t="s">
        <v>236</v>
      </c>
      <c r="D44" s="49" t="s">
        <v>34</v>
      </c>
      <c r="E44" s="50" t="s">
        <v>68</v>
      </c>
      <c r="F44" s="51" t="s">
        <v>63</v>
      </c>
      <c r="G44" s="51" t="s">
        <v>63</v>
      </c>
      <c r="H44" s="51" t="s">
        <v>63</v>
      </c>
      <c r="I44" s="157">
        <v>2087.7</v>
      </c>
      <c r="J44" s="158">
        <v>14</v>
      </c>
      <c r="K44" s="54">
        <f>IF(J44="-",0,I44*J44)</f>
        <v>29227.799999999996</v>
      </c>
      <c r="L44" s="55" t="str">
        <f>IF(H44="-","-",K44*H44)</f>
        <v>-</v>
      </c>
      <c r="M44" s="56" t="str">
        <f>IF($H44="-","-",(($K44/(-0.8+1)*((1/(1-$H44))^(-0.8+1)-1))))</f>
        <v>-</v>
      </c>
      <c r="N44" s="56" t="str">
        <f>IF($H44="-","-",(($K44/(-1.2+1)*((1/(1-$H44))^(-1.2+1)-1))))</f>
        <v>-</v>
      </c>
      <c r="O44" s="57"/>
    </row>
    <row r="45" spans="1:15" ht="29.25">
      <c r="A45" s="119" t="s">
        <v>240</v>
      </c>
      <c r="B45" s="119" t="s">
        <v>241</v>
      </c>
      <c r="C45" s="120" t="s">
        <v>242</v>
      </c>
      <c r="D45" s="121" t="s">
        <v>36</v>
      </c>
      <c r="E45" s="122" t="s">
        <v>68</v>
      </c>
      <c r="F45" s="123">
        <v>0</v>
      </c>
      <c r="G45" s="123">
        <v>0</v>
      </c>
      <c r="H45" s="123">
        <v>0</v>
      </c>
      <c r="I45" s="124">
        <v>230.1</v>
      </c>
      <c r="J45" s="125">
        <v>1378</v>
      </c>
      <c r="K45" s="126">
        <f>IF(J45="-",0,I45*J45)</f>
        <v>317077.8</v>
      </c>
      <c r="L45" s="127">
        <f>IF(H45="-","-",K45*H45)</f>
        <v>0</v>
      </c>
      <c r="M45" s="128">
        <f>IF($H45="-","-",(($K45/(-0.8+1)*((1/(1-$H45))^(-0.8+1)-1))))</f>
        <v>0</v>
      </c>
      <c r="N45" s="128">
        <f>IF($H45="-","-",(($K45/(-1.2+1)*((1/(1-$H45))^(-1.2+1)-1))))</f>
        <v>0</v>
      </c>
      <c r="O45" s="57"/>
    </row>
    <row r="46" spans="9:14" ht="16.5">
      <c r="I46" s="205"/>
      <c r="J46" s="206"/>
      <c r="K46" s="207"/>
      <c r="L46" s="208"/>
      <c r="M46" s="209"/>
      <c r="N46" s="209"/>
    </row>
    <row r="47" spans="1:14" ht="30" customHeight="1">
      <c r="A47" s="210" t="s">
        <v>243</v>
      </c>
      <c r="B47" s="210" t="s">
        <v>248</v>
      </c>
      <c r="C47" s="210"/>
      <c r="D47" s="210"/>
      <c r="E47" s="210"/>
      <c r="F47" s="211">
        <f>AVERAGE(F9:F45)</f>
        <v>0.1964285714285714</v>
      </c>
      <c r="G47" s="211">
        <f>AVERAGE(G9:G45)</f>
        <v>0.42142857142857143</v>
      </c>
      <c r="H47" s="211">
        <f>AVERAGE(H9:H45)</f>
        <v>0.3089285714285715</v>
      </c>
      <c r="I47" s="212">
        <f>AVERAGE(I9:I45)</f>
        <v>612.7351351351349</v>
      </c>
      <c r="J47" s="213">
        <f>AVERAGE(J9:J45)</f>
        <v>263.72222222222223</v>
      </c>
      <c r="K47" s="214">
        <f>SUM(K9:K45)</f>
        <v>2878108.2</v>
      </c>
      <c r="L47" s="215">
        <f>SUM(L9:L45)</f>
        <v>321740.29999999993</v>
      </c>
      <c r="M47" s="216">
        <f>SUM(M9:M45)</f>
        <v>624425.5461529604</v>
      </c>
      <c r="N47" s="216">
        <f>SUM(N9:N45)</f>
        <v>477120.4397724655</v>
      </c>
    </row>
  </sheetData>
  <sheetProtection selectLockedCells="1" selectUnlockedCells="1"/>
  <mergeCells count="10">
    <mergeCell ref="A2:N2"/>
    <mergeCell ref="A3:N3"/>
    <mergeCell ref="P3:V3"/>
    <mergeCell ref="F4:H4"/>
    <mergeCell ref="I4:N4"/>
    <mergeCell ref="M5:N5"/>
    <mergeCell ref="U5:V5"/>
    <mergeCell ref="B6:D6"/>
    <mergeCell ref="E6:H6"/>
    <mergeCell ref="A47:E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74"/>
  <sheetViews>
    <sheetView zoomScale="90" zoomScaleNormal="90" workbookViewId="0" topLeftCell="A47">
      <selection activeCell="A9" sqref="A9:A63"/>
    </sheetView>
  </sheetViews>
  <sheetFormatPr defaultColWidth="11.00390625" defaultRowHeight="12.75"/>
  <cols>
    <col min="1" max="1" width="10.75390625" style="1" customWidth="1"/>
    <col min="2" max="2" width="14.00390625" style="2" customWidth="1"/>
    <col min="3" max="3" width="40.75390625" style="3" customWidth="1"/>
    <col min="4" max="4" width="12.75390625" style="1" customWidth="1"/>
    <col min="5" max="5" width="11.75390625" style="4" customWidth="1"/>
    <col min="6" max="8" width="10.75390625" style="4" customWidth="1"/>
    <col min="9" max="9" width="14.625" style="1" customWidth="1"/>
    <col min="10" max="10" width="14.00390625" style="1" customWidth="1"/>
    <col min="11" max="11" width="16.875" style="5" customWidth="1"/>
    <col min="12" max="12" width="15.75390625" style="6" customWidth="1"/>
    <col min="13" max="14" width="15.75390625" style="7" customWidth="1"/>
    <col min="15" max="15" width="10.75390625" style="1" customWidth="1"/>
    <col min="16" max="16" width="12.375" style="1" customWidth="1"/>
    <col min="17" max="17" width="14.125" style="1" customWidth="1"/>
    <col min="18" max="18" width="24.75390625" style="1" customWidth="1"/>
    <col min="19" max="19" width="21.25390625" style="1" customWidth="1"/>
    <col min="20" max="20" width="14.125" style="1" customWidth="1"/>
    <col min="21" max="22" width="18.75390625" style="1" customWidth="1"/>
    <col min="23" max="245" width="10.75390625" style="1" customWidth="1"/>
    <col min="246" max="16384" width="10.75390625" style="0" customWidth="1"/>
  </cols>
  <sheetData>
    <row r="1" spans="2:14" s="8" customFormat="1" ht="12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36.75" customHeight="1">
      <c r="A2" s="9" t="s">
        <v>253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2" s="11" customFormat="1" ht="60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12" t="s">
        <v>2</v>
      </c>
      <c r="Q3" s="12"/>
      <c r="R3" s="12"/>
      <c r="S3" s="12"/>
      <c r="T3" s="12"/>
      <c r="U3" s="12"/>
      <c r="V3" s="12"/>
    </row>
    <row r="4" spans="6:246" ht="61.5" customHeight="1">
      <c r="F4" s="13" t="s">
        <v>3</v>
      </c>
      <c r="G4" s="13"/>
      <c r="H4" s="13"/>
      <c r="I4" s="14" t="s">
        <v>4</v>
      </c>
      <c r="J4" s="14"/>
      <c r="K4" s="14"/>
      <c r="L4" s="14"/>
      <c r="M4" s="14"/>
      <c r="N4" s="14"/>
      <c r="IL4" s="1"/>
    </row>
    <row r="5" spans="1:246" ht="78.75" customHeight="1">
      <c r="A5" s="15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8" t="s">
        <v>11</v>
      </c>
      <c r="H5" s="17" t="s">
        <v>12</v>
      </c>
      <c r="I5" s="19" t="s">
        <v>13</v>
      </c>
      <c r="J5" s="19" t="s">
        <v>14</v>
      </c>
      <c r="K5" s="20" t="s">
        <v>15</v>
      </c>
      <c r="L5" s="21" t="s">
        <v>16</v>
      </c>
      <c r="M5" s="22" t="s">
        <v>17</v>
      </c>
      <c r="N5" s="22"/>
      <c r="P5" s="16" t="s">
        <v>8</v>
      </c>
      <c r="Q5" s="23" t="s">
        <v>18</v>
      </c>
      <c r="R5" s="20" t="s">
        <v>15</v>
      </c>
      <c r="S5" s="21" t="s">
        <v>16</v>
      </c>
      <c r="T5" s="24" t="s">
        <v>19</v>
      </c>
      <c r="U5" s="22" t="s">
        <v>17</v>
      </c>
      <c r="V5" s="22"/>
      <c r="IL5" s="1"/>
    </row>
    <row r="6" spans="1:246" ht="47.25" customHeight="1">
      <c r="A6" s="25"/>
      <c r="B6" s="26" t="s">
        <v>20</v>
      </c>
      <c r="C6" s="26"/>
      <c r="D6" s="26"/>
      <c r="E6" s="27" t="s">
        <v>21</v>
      </c>
      <c r="F6" s="27"/>
      <c r="G6" s="27"/>
      <c r="H6" s="27"/>
      <c r="I6" s="28" t="s">
        <v>20</v>
      </c>
      <c r="J6" s="28" t="s">
        <v>22</v>
      </c>
      <c r="K6" s="29" t="s">
        <v>23</v>
      </c>
      <c r="L6" s="30" t="s">
        <v>24</v>
      </c>
      <c r="M6" s="31">
        <v>-0.8</v>
      </c>
      <c r="N6" s="31">
        <v>-1.2</v>
      </c>
      <c r="P6" s="32"/>
      <c r="Q6" s="33" t="s">
        <v>25</v>
      </c>
      <c r="R6" s="29" t="s">
        <v>23</v>
      </c>
      <c r="S6" s="30" t="s">
        <v>26</v>
      </c>
      <c r="T6" s="34" t="s">
        <v>27</v>
      </c>
      <c r="U6" s="31">
        <v>-0.8</v>
      </c>
      <c r="V6" s="31">
        <v>-1.2</v>
      </c>
      <c r="IL6" s="1"/>
    </row>
    <row r="7" spans="2:246" ht="27.75" customHeight="1">
      <c r="B7" s="35"/>
      <c r="C7" s="36"/>
      <c r="D7" s="37"/>
      <c r="E7" s="38"/>
      <c r="F7" s="39"/>
      <c r="G7" s="39"/>
      <c r="H7" s="39"/>
      <c r="I7" s="19" t="s">
        <v>28</v>
      </c>
      <c r="J7" s="19" t="s">
        <v>29</v>
      </c>
      <c r="K7" s="40" t="s">
        <v>30</v>
      </c>
      <c r="L7" s="41" t="s">
        <v>30</v>
      </c>
      <c r="M7" s="42" t="s">
        <v>30</v>
      </c>
      <c r="N7" s="42" t="s">
        <v>30</v>
      </c>
      <c r="P7" s="43"/>
      <c r="Q7" s="19"/>
      <c r="R7" s="40"/>
      <c r="S7" s="41"/>
      <c r="T7" s="44"/>
      <c r="U7" s="42"/>
      <c r="V7" s="42"/>
      <c r="IL7" s="1"/>
    </row>
    <row r="8" spans="2:246" ht="16.5">
      <c r="B8" s="35"/>
      <c r="C8" s="36"/>
      <c r="D8" s="37"/>
      <c r="E8" s="38"/>
      <c r="F8" s="39"/>
      <c r="G8" s="39"/>
      <c r="H8" s="39"/>
      <c r="I8" s="19"/>
      <c r="J8" s="19"/>
      <c r="K8" s="40"/>
      <c r="L8" s="41"/>
      <c r="M8" s="42"/>
      <c r="N8" s="42"/>
      <c r="P8" s="43"/>
      <c r="Q8" s="43"/>
      <c r="R8" s="40"/>
      <c r="S8" s="45"/>
      <c r="T8" s="44"/>
      <c r="U8" s="46"/>
      <c r="V8" s="46"/>
      <c r="IL8" s="1"/>
    </row>
    <row r="9" spans="1:22" ht="29.25">
      <c r="A9" s="47" t="s">
        <v>31</v>
      </c>
      <c r="B9" s="47" t="s">
        <v>32</v>
      </c>
      <c r="C9" s="48" t="s">
        <v>33</v>
      </c>
      <c r="D9" s="49" t="s">
        <v>34</v>
      </c>
      <c r="E9" s="50" t="s">
        <v>35</v>
      </c>
      <c r="F9" s="51">
        <v>0.4</v>
      </c>
      <c r="G9" s="51">
        <v>0.9</v>
      </c>
      <c r="H9" s="51">
        <v>0.65</v>
      </c>
      <c r="I9" s="52">
        <v>687.9</v>
      </c>
      <c r="J9" s="53">
        <v>63</v>
      </c>
      <c r="K9" s="54">
        <f>IF(J9="-",0,I9*J9)</f>
        <v>43337.7</v>
      </c>
      <c r="L9" s="55">
        <f>IF(H9="-","-",$K9*H9)</f>
        <v>28169.504999999997</v>
      </c>
      <c r="M9" s="56">
        <f>IF($H9="-","-",(($K9/(-0.8+1)*((1/(1-$H9))^(-0.8+1)-1))))</f>
        <v>50625.838391389465</v>
      </c>
      <c r="N9" s="56">
        <f>IF($H9="-","-",(($K9/(-1.2+1)*((1/(1-$H9))^(-1.2+1)-1))))</f>
        <v>41037.96694291335</v>
      </c>
      <c r="O9" s="57"/>
      <c r="P9" s="58" t="s">
        <v>36</v>
      </c>
      <c r="Q9" s="59">
        <f>SUMIF($D$9:$D$56,$P9,$K$9:$K$56)/SUMIF($D$9:$D$56,$P9,$J$9:$J$56)</f>
        <v>212.61942524138718</v>
      </c>
      <c r="R9" s="217">
        <f>SUMIF($D$9:$D$56,$P9,$K$9:$K$56)</f>
        <v>59543644.8</v>
      </c>
      <c r="S9" s="218">
        <f>SUMIF($D$9:$D$56,$P9,$L$9:$L$56)</f>
        <v>0</v>
      </c>
      <c r="T9" s="62">
        <f>IF(R9=0,"-",S9/R9)</f>
        <v>0</v>
      </c>
      <c r="U9" s="219">
        <f>SUMIF($D$9:$D$56,$P9,$M$9:$M$56)</f>
        <v>0</v>
      </c>
      <c r="V9" s="219">
        <f>SUMIF($D$9:$D$56,$P9,$N$9:$N$56)</f>
        <v>0</v>
      </c>
    </row>
    <row r="10" spans="1:22" ht="16.5">
      <c r="A10" s="64" t="s">
        <v>37</v>
      </c>
      <c r="B10" s="64" t="s">
        <v>38</v>
      </c>
      <c r="C10" s="65" t="s">
        <v>39</v>
      </c>
      <c r="D10" s="66" t="s">
        <v>40</v>
      </c>
      <c r="E10" s="67" t="s">
        <v>35</v>
      </c>
      <c r="F10" s="68">
        <v>0.4</v>
      </c>
      <c r="G10" s="68">
        <v>0.9</v>
      </c>
      <c r="H10" s="68">
        <v>0.65</v>
      </c>
      <c r="I10" s="69">
        <v>342.2</v>
      </c>
      <c r="J10" s="70">
        <v>9811</v>
      </c>
      <c r="K10" s="71">
        <f>IF(J10="-",0,I10*J10)</f>
        <v>3357324.1999999997</v>
      </c>
      <c r="L10" s="72">
        <f>IF(H10="-","-",K10*H10)</f>
        <v>2182260.73</v>
      </c>
      <c r="M10" s="73">
        <f>IF($H10="-","-",(($K10/(-0.8+1)*((1/(1-$H10))^(-0.8+1)-1))))</f>
        <v>3921928.3066868093</v>
      </c>
      <c r="N10" s="73">
        <f>IF($H10="-","-",(($K10/(-1.2+1)*((1/(1-$H10))^(-1.2+1)-1))))</f>
        <v>3179166.396376435</v>
      </c>
      <c r="O10" s="57"/>
      <c r="P10" s="66" t="s">
        <v>40</v>
      </c>
      <c r="Q10" s="74">
        <f>SUMIF($D$9:$D$56,$P10,$K$9:$K$56)/SUMIF($D$9:$D$56,$P10,$J$9:$J$56)</f>
        <v>577.4104959124729</v>
      </c>
      <c r="R10" s="220">
        <f>SUMIF($D$9:$D$56,$P10,$K$9:$K$56)</f>
        <v>56575257.800000004</v>
      </c>
      <c r="S10" s="221">
        <f>SUMIF($D$9:$D$56,$P10,$L$9:$L$56)</f>
        <v>4043581.3199999994</v>
      </c>
      <c r="T10" s="77">
        <f>IF(R10=0,"-",S10/R10)</f>
        <v>0.07147260971031756</v>
      </c>
      <c r="U10" s="222">
        <f>SUMIF($D$9:$D$56,$P10,$M$9:$M$56)</f>
        <v>9468776.741083115</v>
      </c>
      <c r="V10" s="222">
        <f>SUMIF($D$9:$D$56,$P10,$N$9:$N$56)</f>
        <v>6680380.158425649</v>
      </c>
    </row>
    <row r="11" spans="1:22" ht="29.25">
      <c r="A11" s="64" t="s">
        <v>41</v>
      </c>
      <c r="B11" s="64" t="s">
        <v>42</v>
      </c>
      <c r="C11" s="65" t="s">
        <v>43</v>
      </c>
      <c r="D11" s="66" t="s">
        <v>40</v>
      </c>
      <c r="E11" s="67" t="s">
        <v>35</v>
      </c>
      <c r="F11" s="68">
        <v>0.4</v>
      </c>
      <c r="G11" s="68">
        <v>0.9</v>
      </c>
      <c r="H11" s="68">
        <v>0.65</v>
      </c>
      <c r="I11" s="69">
        <v>745.8</v>
      </c>
      <c r="J11" s="70">
        <v>15</v>
      </c>
      <c r="K11" s="71">
        <f>IF(J11="-",0,I11*J11)</f>
        <v>11187</v>
      </c>
      <c r="L11" s="72">
        <f>IF(H11="-","-",K11*H11)</f>
        <v>7271.55</v>
      </c>
      <c r="M11" s="73">
        <f>IF($H11="-","-",(($K11/(-0.8+1)*((1/(1-$H11))^(-0.8+1)-1))))</f>
        <v>13068.327439722781</v>
      </c>
      <c r="N11" s="73">
        <f>IF($H11="-","-",(($K11/(-1.2+1)*((1/(1-$H11))^(-1.2+1)-1))))</f>
        <v>10593.35719686028</v>
      </c>
      <c r="O11" s="57"/>
      <c r="P11" s="79" t="s">
        <v>44</v>
      </c>
      <c r="Q11" s="80">
        <f>SUMIF($D$9:$D$56,$P11,$K$9:$K$56)/SUMIF($D$9:$D$56,$P11,$J$9:$J$56)</f>
        <v>356.3075429839157</v>
      </c>
      <c r="R11" s="223">
        <f>SUMIF($D$9:$D$56,$P11,$K$9:$K$56)</f>
        <v>1284845</v>
      </c>
      <c r="S11" s="224">
        <f>SUMIF($D$9:$D$56,$P11,$L$9:$L$56)</f>
        <v>268463.45</v>
      </c>
      <c r="T11" s="83">
        <f>IF(R11=0,"-",S11/R11)</f>
        <v>0.20894617638703503</v>
      </c>
      <c r="U11" s="225">
        <f>SUMIF($D$9:$D$56,$P11,$M$9:$M$56)</f>
        <v>317988.73380431486</v>
      </c>
      <c r="V11" s="225">
        <f>SUMIF($D$9:$D$56,$P11,$N$9:$N$56)</f>
        <v>300209.1923171331</v>
      </c>
    </row>
    <row r="12" spans="1:22" ht="42.75">
      <c r="A12" s="85" t="s">
        <v>45</v>
      </c>
      <c r="B12" s="85" t="s">
        <v>46</v>
      </c>
      <c r="C12" s="86" t="s">
        <v>47</v>
      </c>
      <c r="D12" s="87" t="s">
        <v>48</v>
      </c>
      <c r="E12" s="88" t="s">
        <v>49</v>
      </c>
      <c r="F12" s="89" t="str">
        <f>IF(E12="No aumenta",0,IF(E12="Pequeña",0,IF(E12="Moderada",0.1,IF(E12="Grande",0.4,IF(E12="Esencial",0.9,"-")))))</f>
        <v>-</v>
      </c>
      <c r="G12" s="89" t="str">
        <f>IF(E12="No aumenta",0,IF(E12="Pequeña",0.1,IF(E12="Moderada",0.4,IF(E12="Grande",0.9,IF(E12="Esencial",1,"-")))))</f>
        <v>-</v>
      </c>
      <c r="H12" s="89" t="str">
        <f>IF(F12="-","-",AVERAGE(F12:G12))</f>
        <v>-</v>
      </c>
      <c r="I12" s="90">
        <v>661.2</v>
      </c>
      <c r="J12" s="91">
        <v>11</v>
      </c>
      <c r="K12" s="92">
        <f>IF(J12="-",0,I12*J12)</f>
        <v>7273.200000000001</v>
      </c>
      <c r="L12" s="93" t="str">
        <f>IF(H12="-","-",K12*H12)</f>
        <v>-</v>
      </c>
      <c r="M12" s="94" t="str">
        <f>IF($H12="-","-",(($K12/(-0.8+1)*((1/(1-$H12))^(-0.8+1)-1))))</f>
        <v>-</v>
      </c>
      <c r="N12" s="94" t="str">
        <f>IF($H12="-","-",(($K12/(-1.2+1)*((1/(1-$H12))^(-1.2+1)-1))))</f>
        <v>-</v>
      </c>
      <c r="O12" s="57"/>
      <c r="P12" s="95" t="s">
        <v>50</v>
      </c>
      <c r="Q12" s="96">
        <f>SUMIF($D$9:$D$56,$P12,$K$9:$K$56)/SUMIF($D$9:$D$56,$P12,$J$9:$J$56)</f>
        <v>531.6561282367446</v>
      </c>
      <c r="R12" s="226">
        <f>SUMIF($D$9:$D$56,$P12,$K$9:$K$56)</f>
        <v>2155865.5999999996</v>
      </c>
      <c r="S12" s="227">
        <f>SUMIF($D$9:$D$56,$P12,$L$9:$L$56)</f>
        <v>251528.845</v>
      </c>
      <c r="T12" s="99">
        <f>IF(R12=0,"-",S12/R12)</f>
        <v>0.11667185793029029</v>
      </c>
      <c r="U12" s="228">
        <f>SUMIF($D$9:$D$56,$P12,$M$9:$M$56)</f>
        <v>288046.5738562519</v>
      </c>
      <c r="V12" s="228">
        <f>SUMIF($D$9:$D$56,$P12,$N$9:$N$56)</f>
        <v>274979.1018722036</v>
      </c>
    </row>
    <row r="13" spans="1:22" ht="42.75">
      <c r="A13" s="85" t="s">
        <v>51</v>
      </c>
      <c r="B13" s="85" t="s">
        <v>52</v>
      </c>
      <c r="C13" s="86" t="s">
        <v>53</v>
      </c>
      <c r="D13" s="87" t="s">
        <v>48</v>
      </c>
      <c r="E13" s="88" t="s">
        <v>49</v>
      </c>
      <c r="F13" s="89" t="str">
        <f>IF(E13="No aumenta",0,IF(E13="Pequeña",0,IF(E13="Moderada",0.1,IF(E13="Grande",0.4,IF(E13="Esencial",0.9,"-")))))</f>
        <v>-</v>
      </c>
      <c r="G13" s="89" t="str">
        <f>IF(E13="No aumenta",0,IF(E13="Pequeña",0.1,IF(E13="Moderada",0.4,IF(E13="Grande",0.9,IF(E13="Esencial",1,"-")))))</f>
        <v>-</v>
      </c>
      <c r="H13" s="89" t="str">
        <f>IF(F13="-","-",AVERAGE(F13:G13))</f>
        <v>-</v>
      </c>
      <c r="I13" s="90">
        <v>1257.3</v>
      </c>
      <c r="J13" s="91">
        <v>4</v>
      </c>
      <c r="K13" s="92">
        <f>IF(J13="-",0,I13*J13)</f>
        <v>5029.2</v>
      </c>
      <c r="L13" s="93" t="str">
        <f>IF(H13="-","-",K13*H13)</f>
        <v>-</v>
      </c>
      <c r="M13" s="94" t="str">
        <f>IF($H13="-","-",(($K13/(-0.8+1)*((1/(1-$H13))^(-0.8+1)-1))))</f>
        <v>-</v>
      </c>
      <c r="N13" s="94" t="str">
        <f>IF($H13="-","-",(($K13/(-1.2+1)*((1/(1-$H13))^(-1.2+1)-1))))</f>
        <v>-</v>
      </c>
      <c r="O13" s="57"/>
      <c r="P13" s="101" t="s">
        <v>54</v>
      </c>
      <c r="Q13" s="102">
        <f>SUMIF($D$9:$D$56,$P13,$K$9:$K$56)/SUMIF($D$9:$D$56,$P13,$J$9:$J$56)</f>
        <v>212.7</v>
      </c>
      <c r="R13" s="229">
        <f>SUMIF($D$9:$D$56,$P13,$K$9:$K$56)</f>
        <v>11240344.2</v>
      </c>
      <c r="S13" s="230">
        <f>SUMIF($D$9:$D$56,$P13,$L$9:$L$56)</f>
        <v>0</v>
      </c>
      <c r="T13" s="105">
        <f>IF(R13=0,"-",S13/R13)</f>
        <v>0</v>
      </c>
      <c r="U13" s="231">
        <f>SUMIF($D$9:$D$56,$P13,$M$9:$M$56)</f>
        <v>0</v>
      </c>
      <c r="V13" s="231">
        <f>SUMIF($D$9:$D$56,$P13,$N$9:$N$56)</f>
        <v>0</v>
      </c>
    </row>
    <row r="14" spans="1:22" ht="16.5">
      <c r="A14" s="119" t="s">
        <v>65</v>
      </c>
      <c r="B14" s="119" t="s">
        <v>66</v>
      </c>
      <c r="C14" s="120" t="s">
        <v>67</v>
      </c>
      <c r="D14" s="121" t="s">
        <v>36</v>
      </c>
      <c r="E14" s="122" t="s">
        <v>68</v>
      </c>
      <c r="F14" s="123">
        <v>0</v>
      </c>
      <c r="G14" s="123">
        <v>0</v>
      </c>
      <c r="H14" s="123">
        <v>0</v>
      </c>
      <c r="I14" s="124">
        <v>194.8</v>
      </c>
      <c r="J14" s="125">
        <v>82840</v>
      </c>
      <c r="K14" s="126">
        <f>IF(J14="-",0,I14*J14)</f>
        <v>16137232.000000002</v>
      </c>
      <c r="L14" s="127">
        <f>IF(H14="-","-",K14*H14)</f>
        <v>0</v>
      </c>
      <c r="M14" s="128">
        <f>IF($H14="-","-",(($K14/(-0.8+1)*((1/(1-$H14))^(-0.8+1)-1))))</f>
        <v>0</v>
      </c>
      <c r="N14" s="128">
        <f>IF($H14="-","-",(($K14/(-1.2+1)*((1/(1-$H14))^(-1.2+1)-1))))</f>
        <v>0</v>
      </c>
      <c r="O14" s="57"/>
      <c r="P14" s="113" t="s">
        <v>64</v>
      </c>
      <c r="Q14" s="114">
        <f>SUMIF($D$9:$D$56,$P14,$K$9:$K$56)/SUMIF($D$9:$D$56,$P14,$J$9:$J$56)</f>
        <v>31.2</v>
      </c>
      <c r="R14" s="245">
        <f>SUMIF($D$9:$D$56,$P14,$K$9:$K$56)</f>
        <v>6730588.8</v>
      </c>
      <c r="S14" s="246">
        <f>SUMIF($D$9:$D$56,$P14,$L$9:$L$56)</f>
        <v>0</v>
      </c>
      <c r="T14" s="117">
        <f>IF(R14=0,"-",S14/R14)</f>
        <v>0</v>
      </c>
      <c r="U14" s="247">
        <f>SUMIF($D$9:$D$56,$P14,$M$9:$M$56)</f>
        <v>0</v>
      </c>
      <c r="V14" s="247">
        <f>SUMIF($D$9:$D$56,$P14,$N$9:$N$56)</f>
        <v>0</v>
      </c>
    </row>
    <row r="15" spans="1:22" ht="42.75">
      <c r="A15" s="134" t="s">
        <v>69</v>
      </c>
      <c r="B15" s="134" t="s">
        <v>70</v>
      </c>
      <c r="C15" s="135" t="s">
        <v>71</v>
      </c>
      <c r="D15" s="95" t="s">
        <v>50</v>
      </c>
      <c r="E15" s="136" t="s">
        <v>72</v>
      </c>
      <c r="F15" s="137">
        <v>0</v>
      </c>
      <c r="G15" s="137">
        <v>0.1</v>
      </c>
      <c r="H15" s="137">
        <v>0.05</v>
      </c>
      <c r="I15" s="138">
        <v>1857.6</v>
      </c>
      <c r="J15" s="139">
        <v>694</v>
      </c>
      <c r="K15" s="140">
        <f>IF(J15="-",0,I15*J15)</f>
        <v>1289174.4</v>
      </c>
      <c r="L15" s="141">
        <f>IF(H15="-","-",K15*H15)</f>
        <v>64458.72</v>
      </c>
      <c r="M15" s="142">
        <f>IF($H15="-","-",(($K15/(-0.8+1)*((1/(1-$H15))^(-0.8+1)-1))))</f>
        <v>66466.34689662335</v>
      </c>
      <c r="N15" s="142">
        <f>IF($H15="-","-",(($K15/(-1.2+1)*((1/(1-$H15))^(-1.2+1)-1))))</f>
        <v>65787.97684972805</v>
      </c>
      <c r="O15" s="57"/>
      <c r="P15" s="49" t="s">
        <v>34</v>
      </c>
      <c r="Q15" s="129">
        <f>SUMIF($D$9:$D$56,$P15,$K$9:$K$56)/SUMIF($D$9:$D$56,$P15,$J$9:$J$56)</f>
        <v>1867.9272134203165</v>
      </c>
      <c r="R15" s="232">
        <f>SUMIF($D$9:$D$56,$P15,$K$9:$K$56)</f>
        <v>2004285.8999999997</v>
      </c>
      <c r="S15" s="233">
        <f>SUMIF($D$9:$D$56,$P15,$L$9:$L$56)</f>
        <v>28169.504999999997</v>
      </c>
      <c r="T15" s="132">
        <f>IF(R15=0,"-",S15/R15)</f>
        <v>0.01405463412180867</v>
      </c>
      <c r="U15" s="234">
        <f>SUMIF($D$9:$D$56,$P15,$M$9:$M$56)</f>
        <v>50625.838391389465</v>
      </c>
      <c r="V15" s="234">
        <f>SUMIF($D$9:$D$56,$P15,$N$9:$N$56)</f>
        <v>41037.96694291335</v>
      </c>
    </row>
    <row r="16" spans="1:22" ht="29.25">
      <c r="A16" s="85" t="s">
        <v>73</v>
      </c>
      <c r="B16" s="85" t="s">
        <v>74</v>
      </c>
      <c r="C16" s="86" t="s">
        <v>75</v>
      </c>
      <c r="D16" s="87" t="s">
        <v>48</v>
      </c>
      <c r="E16" s="88" t="s">
        <v>72</v>
      </c>
      <c r="F16" s="89">
        <v>0</v>
      </c>
      <c r="G16" s="89">
        <v>0.1</v>
      </c>
      <c r="H16" s="89">
        <v>0.05</v>
      </c>
      <c r="I16" s="90">
        <v>1536</v>
      </c>
      <c r="J16" s="91">
        <v>3053</v>
      </c>
      <c r="K16" s="92">
        <f>IF(J16="-",0,I16*J16)</f>
        <v>4689408</v>
      </c>
      <c r="L16" s="93">
        <f>IF(H16="-","-",K16*H16)</f>
        <v>234470.40000000002</v>
      </c>
      <c r="M16" s="94">
        <f>IF($H16="-","-",(($K16/(-0.8+1)*((1/(1-$H16))^(-0.8+1)-1))))</f>
        <v>241773.19908602023</v>
      </c>
      <c r="N16" s="94">
        <f>IF($H16="-","-",(($K16/(-1.2+1)*((1/(1-$H16))^(-1.2+1)-1))))</f>
        <v>239305.6090339131</v>
      </c>
      <c r="O16" s="57"/>
      <c r="P16" s="87" t="s">
        <v>48</v>
      </c>
      <c r="Q16" s="143">
        <f>SUMIF($D$9:$D$56,$P16,$K$9:$K$56)/SUMIF($D$9:$D$56,$P16,$J$9:$J$56)</f>
        <v>527.9306900680135</v>
      </c>
      <c r="R16" s="235">
        <f>SUMIF($D$9:$D$56,$P16,$K$9:$K$56)</f>
        <v>20724975.100000005</v>
      </c>
      <c r="S16" s="236">
        <f>SUMIF($D$9:$D$56,$P16,$L$9:$L$56)</f>
        <v>934074.945</v>
      </c>
      <c r="T16" s="146">
        <f>IF(R16=0,"-",S16/R16)</f>
        <v>0.04507001530728014</v>
      </c>
      <c r="U16" s="237">
        <f>SUMIF($D$9:$D$56,$P16,$M$9:$M$56)</f>
        <v>1919780.2600197406</v>
      </c>
      <c r="V16" s="237">
        <f>SUMIF($D$9:$D$56,$P16,$N$9:$N$56)</f>
        <v>1355751.6781428326</v>
      </c>
    </row>
    <row r="17" spans="1:22" ht="42.75">
      <c r="A17" s="134" t="s">
        <v>254</v>
      </c>
      <c r="B17" s="134" t="s">
        <v>77</v>
      </c>
      <c r="C17" s="135" t="s">
        <v>78</v>
      </c>
      <c r="D17" s="95" t="s">
        <v>50</v>
      </c>
      <c r="E17" s="136" t="s">
        <v>79</v>
      </c>
      <c r="F17" s="137">
        <v>0.1</v>
      </c>
      <c r="G17" s="137">
        <v>0.4</v>
      </c>
      <c r="H17" s="137">
        <v>0.25</v>
      </c>
      <c r="I17" s="138">
        <v>256.7</v>
      </c>
      <c r="J17" s="139">
        <v>2915</v>
      </c>
      <c r="K17" s="140">
        <f>IF(J17="-",0,I17*J17)</f>
        <v>748280.5</v>
      </c>
      <c r="L17" s="141">
        <f>IF(H17="-","-",K17*H17)</f>
        <v>187070.125</v>
      </c>
      <c r="M17" s="142">
        <f>IF($H17="-","-",(($K17/(-0.8+1)*((1/(1-$H17))^(-0.8+1)-1))))</f>
        <v>221580.22695962855</v>
      </c>
      <c r="N17" s="142">
        <f>IF($H17="-","-",(($K17/(-1.2+1)*((1/(1-$H17))^(-1.2+1)-1))))</f>
        <v>209191.12502247555</v>
      </c>
      <c r="O17" s="57"/>
      <c r="P17" s="57"/>
      <c r="Q17" s="57"/>
      <c r="R17" s="238"/>
      <c r="S17" s="239"/>
      <c r="T17" s="150"/>
      <c r="U17" s="240"/>
      <c r="V17" s="240"/>
    </row>
    <row r="18" spans="1:22" ht="42.75">
      <c r="A18" s="85" t="s">
        <v>81</v>
      </c>
      <c r="B18" s="85" t="s">
        <v>82</v>
      </c>
      <c r="C18" s="86" t="s">
        <v>83</v>
      </c>
      <c r="D18" s="87" t="s">
        <v>48</v>
      </c>
      <c r="E18" s="88" t="s">
        <v>49</v>
      </c>
      <c r="F18" s="89" t="str">
        <f>IF(E18="No aumenta",0,IF(E18="Pequeña",0,IF(E18="Moderada",0.1,IF(E18="Grande",0.4,IF(E18="Esencial",0.9,"-")))))</f>
        <v>-</v>
      </c>
      <c r="G18" s="89" t="str">
        <f>IF(E18="No aumenta",0,IF(E18="Pequeña",0.1,IF(E18="Moderada",0.4,IF(E18="Grande",0.9,IF(E18="Esencial",1,"-")))))</f>
        <v>-</v>
      </c>
      <c r="H18" s="89" t="str">
        <f>IF(F18="-","-",AVERAGE(F18:G18))</f>
        <v>-</v>
      </c>
      <c r="I18" s="90">
        <v>247</v>
      </c>
      <c r="J18" s="91">
        <v>2534</v>
      </c>
      <c r="K18" s="92">
        <f>IF(J18="-",0,I18*J18)</f>
        <v>625898</v>
      </c>
      <c r="L18" s="93" t="str">
        <f>IF(H18="-","-",K18*H18)</f>
        <v>-</v>
      </c>
      <c r="M18" s="94" t="str">
        <f>IF($H18="-","-",(($K18/(-0.8+1)*((1/(1-$H18))^(-0.8+1)-1))))</f>
        <v>-</v>
      </c>
      <c r="N18" s="94" t="str">
        <f>IF($H18="-","-",(($K18/(-1.2+1)*((1/(1-$H18))^(-1.2+1)-1))))</f>
        <v>-</v>
      </c>
      <c r="O18" s="57"/>
      <c r="P18" s="152" t="s">
        <v>80</v>
      </c>
      <c r="Q18" s="152"/>
      <c r="R18" s="241">
        <f>SUM(R9:R16)</f>
        <v>160259807.20000002</v>
      </c>
      <c r="S18" s="242">
        <f>SUM(S9:S16)</f>
        <v>5525818.0649999995</v>
      </c>
      <c r="T18" s="155">
        <f>IF(R18=0,"-",S18/R18)</f>
        <v>0.03448037384759813</v>
      </c>
      <c r="U18" s="243">
        <f>SUM(U9:U16)</f>
        <v>12045218.147154812</v>
      </c>
      <c r="V18" s="243">
        <f>SUM(V9:V16)</f>
        <v>8652358.097700732</v>
      </c>
    </row>
    <row r="19" spans="1:15" ht="42.75">
      <c r="A19" s="85" t="s">
        <v>84</v>
      </c>
      <c r="B19" s="85" t="s">
        <v>85</v>
      </c>
      <c r="C19" s="86" t="s">
        <v>86</v>
      </c>
      <c r="D19" s="87" t="s">
        <v>48</v>
      </c>
      <c r="E19" s="88" t="s">
        <v>49</v>
      </c>
      <c r="F19" s="89" t="str">
        <f>IF(E19="No aumenta",0,IF(E19="Pequeña",0,IF(E19="Moderada",0.1,IF(E19="Grande",0.4,IF(E19="Esencial",0.9,"-")))))</f>
        <v>-</v>
      </c>
      <c r="G19" s="89" t="str">
        <f>IF(E19="No aumenta",0,IF(E19="Pequeña",0.1,IF(E19="Moderada",0.4,IF(E19="Grande",0.9,IF(E19="Esencial",1,"-")))))</f>
        <v>-</v>
      </c>
      <c r="H19" s="89" t="str">
        <f>IF(F19="-","-",AVERAGE(F19:G19))</f>
        <v>-</v>
      </c>
      <c r="I19" s="90">
        <v>283.4</v>
      </c>
      <c r="J19" s="91">
        <v>2569</v>
      </c>
      <c r="K19" s="92">
        <f>IF(J19="-",0,I19*J19)</f>
        <v>728054.6</v>
      </c>
      <c r="L19" s="93" t="str">
        <f>IF(H19="-","-",K19*H19)</f>
        <v>-</v>
      </c>
      <c r="M19" s="94" t="str">
        <f>IF($H19="-","-",(($K19/(-0.8+1)*((1/(1-$H19))^(-0.8+1)-1))))</f>
        <v>-</v>
      </c>
      <c r="N19" s="94" t="str">
        <f>IF($H19="-","-",(($K19/(-1.2+1)*((1/(1-$H19))^(-1.2+1)-1))))</f>
        <v>-</v>
      </c>
      <c r="O19" s="57"/>
    </row>
    <row r="20" spans="1:15" ht="42.75">
      <c r="A20" s="85" t="s">
        <v>250</v>
      </c>
      <c r="B20" s="85" t="s">
        <v>88</v>
      </c>
      <c r="C20" s="86" t="s">
        <v>83</v>
      </c>
      <c r="D20" s="87" t="s">
        <v>48</v>
      </c>
      <c r="E20" s="88" t="s">
        <v>49</v>
      </c>
      <c r="F20" s="89" t="str">
        <f>IF(E20="No aumenta",0,IF(E20="Pequeña",0,IF(E20="Moderada",0.1,IF(E20="Grande",0.4,IF(E20="Esencial",0.9,"-")))))</f>
        <v>-</v>
      </c>
      <c r="G20" s="89" t="str">
        <f>IF(E20="No aumenta",0,IF(E20="Pequeña",0.1,IF(E20="Moderada",0.4,IF(E20="Grande",0.9,IF(E20="Esencial",1,"-")))))</f>
        <v>-</v>
      </c>
      <c r="H20" s="89" t="str">
        <f>IF(F20="-","-",AVERAGE(F20:G20))</f>
        <v>-</v>
      </c>
      <c r="I20" s="90">
        <v>325.3</v>
      </c>
      <c r="J20" s="91">
        <v>706</v>
      </c>
      <c r="K20" s="92">
        <f>IF(J20="-",0,I20*J20)</f>
        <v>229661.80000000002</v>
      </c>
      <c r="L20" s="93" t="str">
        <f>IF(H20="-","-",K20*H20)</f>
        <v>-</v>
      </c>
      <c r="M20" s="94" t="str">
        <f>IF($H20="-","-",(($K20/(-0.8+1)*((1/(1-$H20))^(-0.8+1)-1))))</f>
        <v>-</v>
      </c>
      <c r="N20" s="94" t="str">
        <f>IF($H20="-","-",(($K20/(-1.2+1)*((1/(1-$H20))^(-1.2+1)-1))))</f>
        <v>-</v>
      </c>
      <c r="O20" s="57"/>
    </row>
    <row r="21" spans="1:15" ht="29.25">
      <c r="A21" s="64" t="s">
        <v>246</v>
      </c>
      <c r="B21" s="64" t="s">
        <v>90</v>
      </c>
      <c r="C21" s="65" t="s">
        <v>91</v>
      </c>
      <c r="D21" s="66" t="s">
        <v>40</v>
      </c>
      <c r="E21" s="67" t="s">
        <v>35</v>
      </c>
      <c r="F21" s="68">
        <f>IF(E21="No aumenta",0,IF(E21="Pequeña",0,IF(E21="Moderada",0.1,IF(E21="Grande",0.4,IF(E21="Esencial",0.9,"-")))))</f>
        <v>0.4</v>
      </c>
      <c r="G21" s="68">
        <f>IF(E21="No aumenta",0,IF(E21="Pequeña",0.1,IF(E21="Moderada",0.4,IF(E21="Grande",0.9,IF(E21="Esencial",1,"-")))))</f>
        <v>0.9</v>
      </c>
      <c r="H21" s="68">
        <f>IF(F21="-","-",AVERAGE(F21:G21))</f>
        <v>0.65</v>
      </c>
      <c r="I21" s="69">
        <v>1344.2</v>
      </c>
      <c r="J21" s="70">
        <v>342</v>
      </c>
      <c r="K21" s="71">
        <f>IF(J21="-",0,I21*J21)</f>
        <v>459716.4</v>
      </c>
      <c r="L21" s="72">
        <f>IF(H21="-","-",K21*H21)</f>
        <v>298815.66000000003</v>
      </c>
      <c r="M21" s="73">
        <f>IF($H21="-","-",(($K21/(-0.8+1)*((1/(1-$H21))^(-0.8+1)-1))))</f>
        <v>537027.3035318293</v>
      </c>
      <c r="N21" s="73">
        <f>IF($H21="-","-",(($K21/(-1.2+1)*((1/(1-$H21))^(-1.2+1)-1))))</f>
        <v>435321.35822425125</v>
      </c>
      <c r="O21" s="57"/>
    </row>
    <row r="22" spans="1:15" ht="16.5">
      <c r="A22" s="134" t="s">
        <v>95</v>
      </c>
      <c r="B22" s="134" t="s">
        <v>96</v>
      </c>
      <c r="C22" s="135" t="s">
        <v>97</v>
      </c>
      <c r="D22" s="95" t="s">
        <v>50</v>
      </c>
      <c r="E22" s="136" t="s">
        <v>68</v>
      </c>
      <c r="F22" s="137">
        <v>0</v>
      </c>
      <c r="G22" s="137">
        <v>0</v>
      </c>
      <c r="H22" s="137">
        <v>0</v>
      </c>
      <c r="I22" s="138">
        <v>652.7</v>
      </c>
      <c r="J22" s="139">
        <v>31</v>
      </c>
      <c r="K22" s="140">
        <f>IF(J22="-",0,I22*J22)</f>
        <v>20233.7</v>
      </c>
      <c r="L22" s="141">
        <f>IF(H22="-","-",K22*H22)</f>
        <v>0</v>
      </c>
      <c r="M22" s="142">
        <f>IF($H22="-","-",(($K22/(-0.8+1)*((1/(1-$H22))^(-0.8+1)-1))))</f>
        <v>0</v>
      </c>
      <c r="N22" s="142">
        <f>IF($H22="-","-",(($K22/(-1.2+1)*((1/(1-$H22))^(-1.2+1)-1))))</f>
        <v>0</v>
      </c>
      <c r="O22" s="57"/>
    </row>
    <row r="23" spans="1:15" ht="29.25">
      <c r="A23" s="85" t="s">
        <v>101</v>
      </c>
      <c r="B23" s="85" t="s">
        <v>102</v>
      </c>
      <c r="C23" s="86" t="s">
        <v>100</v>
      </c>
      <c r="D23" s="87" t="s">
        <v>48</v>
      </c>
      <c r="E23" s="88" t="s">
        <v>72</v>
      </c>
      <c r="F23" s="89">
        <v>0</v>
      </c>
      <c r="G23" s="89">
        <v>0.1</v>
      </c>
      <c r="H23" s="89">
        <v>0.05</v>
      </c>
      <c r="I23" s="90">
        <v>708.5</v>
      </c>
      <c r="J23" s="91">
        <f>4915+257</f>
        <v>5172</v>
      </c>
      <c r="K23" s="92">
        <f>IF(J23="-",0,I23*J23)</f>
        <v>3664362</v>
      </c>
      <c r="L23" s="93">
        <f>IF(H23="-","-",K23*H23)</f>
        <v>183218.1</v>
      </c>
      <c r="M23" s="94">
        <f>IF($H23="-","-",(($K23/(-0.8+1)*((1/(1-$H23))^(-0.8+1)-1))))</f>
        <v>188924.59844595465</v>
      </c>
      <c r="N23" s="94">
        <f>IF($H23="-","-",(($K23/(-1.2+1)*((1/(1-$H23))^(-1.2+1)-1))))</f>
        <v>186996.39274951717</v>
      </c>
      <c r="O23" s="57"/>
    </row>
    <row r="24" spans="1:15" ht="29.25">
      <c r="A24" s="85" t="s">
        <v>103</v>
      </c>
      <c r="B24" s="85" t="s">
        <v>104</v>
      </c>
      <c r="C24" s="86" t="s">
        <v>105</v>
      </c>
      <c r="D24" s="87" t="s">
        <v>48</v>
      </c>
      <c r="E24" s="88" t="s">
        <v>35</v>
      </c>
      <c r="F24" s="89">
        <v>0.4</v>
      </c>
      <c r="G24" s="89">
        <v>0.9</v>
      </c>
      <c r="H24" s="89">
        <v>0.65</v>
      </c>
      <c r="I24" s="90">
        <v>371.5</v>
      </c>
      <c r="J24" s="91">
        <v>312</v>
      </c>
      <c r="K24" s="92">
        <f>IF(J24="-",0,I24*J24)</f>
        <v>115908</v>
      </c>
      <c r="L24" s="93">
        <f>IF(H24="-","-",K24*H24)</f>
        <v>75340.2</v>
      </c>
      <c r="M24" s="94">
        <f>IF($H24="-","-",(($K24/(-0.8+1)*((1/(1-$H24))^(-0.8+1)-1))))</f>
        <v>135400.3483403404</v>
      </c>
      <c r="N24" s="94">
        <f>IF($H24="-","-",(($K24/(-1.2+1)*((1/(1-$H24))^(-1.2+1)-1))))</f>
        <v>109757.29382083501</v>
      </c>
      <c r="O24" s="57"/>
    </row>
    <row r="25" spans="1:15" ht="16.5">
      <c r="A25" s="64" t="s">
        <v>109</v>
      </c>
      <c r="B25" s="64" t="s">
        <v>110</v>
      </c>
      <c r="C25" s="65" t="s">
        <v>111</v>
      </c>
      <c r="D25" s="66" t="s">
        <v>40</v>
      </c>
      <c r="E25" s="67" t="s">
        <v>79</v>
      </c>
      <c r="F25" s="68">
        <f>IF(E25="No aumenta",0,IF(E25="Pequeña",0,IF(E25="Moderada",0.1,IF(E25="Grande",0.4,IF(E25="Esencial",0.9,"-")))))</f>
        <v>0.1</v>
      </c>
      <c r="G25" s="68">
        <f>IF(E25="No aumenta",0,IF(E25="Pequeña",0.1,IF(E25="Moderada",0.4,IF(E25="Grande",0.9,IF(E25="Esencial",1,"-")))))</f>
        <v>0.4</v>
      </c>
      <c r="H25" s="68">
        <f>IF(F25="-","-",AVERAGE(F25:G25))</f>
        <v>0.25</v>
      </c>
      <c r="I25" s="69">
        <v>1167.4</v>
      </c>
      <c r="J25" s="70">
        <v>235</v>
      </c>
      <c r="K25" s="71">
        <f>IF(J25="-",0,I25*J25)</f>
        <v>274339</v>
      </c>
      <c r="L25" s="72">
        <f>IF(H25="-","-",K25*H25)</f>
        <v>68584.75</v>
      </c>
      <c r="M25" s="73">
        <f>IF($H25="-","-",(($K25/(-0.8+1)*((1/(1-$H25))^(-0.8+1)-1))))</f>
        <v>81237.04664745044</v>
      </c>
      <c r="N25" s="73">
        <f>IF($H25="-","-",(($K25/(-1.2+1)*((1/(1-$H25))^(-1.2+1)-1))))</f>
        <v>76694.88119433944</v>
      </c>
      <c r="O25" s="57"/>
    </row>
    <row r="26" spans="1:15" ht="42.75">
      <c r="A26" s="85" t="s">
        <v>112</v>
      </c>
      <c r="B26" s="85" t="s">
        <v>113</v>
      </c>
      <c r="C26" s="86" t="s">
        <v>114</v>
      </c>
      <c r="D26" s="87" t="s">
        <v>48</v>
      </c>
      <c r="E26" s="88" t="s">
        <v>62</v>
      </c>
      <c r="F26" s="89" t="s">
        <v>63</v>
      </c>
      <c r="G26" s="89" t="s">
        <v>63</v>
      </c>
      <c r="H26" s="89" t="s">
        <v>63</v>
      </c>
      <c r="I26" s="90">
        <v>1879.1</v>
      </c>
      <c r="J26" s="91">
        <v>416</v>
      </c>
      <c r="K26" s="92">
        <f>IF(J26="-",0,I26*J26)</f>
        <v>781705.6</v>
      </c>
      <c r="L26" s="93" t="str">
        <f>IF(H26="-","-",K26*H26)</f>
        <v>-</v>
      </c>
      <c r="M26" s="94" t="str">
        <f>IF($H26="-","-",(($K26/(-0.8+1)*((1/(1-$H26))^(-0.8+1)-1))))</f>
        <v>-</v>
      </c>
      <c r="N26" s="94" t="str">
        <f>IF($H26="-","-",(($K26/(-1.2+1)*((1/(1-$H26))^(-1.2+1)-1))))</f>
        <v>-</v>
      </c>
      <c r="O26" s="57"/>
    </row>
    <row r="27" spans="1:15" ht="16.5">
      <c r="A27" s="64" t="s">
        <v>118</v>
      </c>
      <c r="B27" s="64" t="s">
        <v>119</v>
      </c>
      <c r="C27" s="65" t="s">
        <v>120</v>
      </c>
      <c r="D27" s="66" t="s">
        <v>40</v>
      </c>
      <c r="E27" s="67" t="s">
        <v>68</v>
      </c>
      <c r="F27" s="68">
        <f>IF(E27="No aumenta",0,IF(E27="Pequeña",0,IF(E27="Moderada",0.1,IF(E27="Grande",0.4,IF(E27="Esencial",0.9,"-")))))</f>
        <v>0</v>
      </c>
      <c r="G27" s="68">
        <f>IF(E27="No aumenta",0,IF(E27="Pequeña",0.1,IF(E27="Moderada",0.4,IF(E27="Grande",0.9,IF(E27="Esencial",1,"-")))))</f>
        <v>0</v>
      </c>
      <c r="H27" s="68">
        <f>IF(F27="-","-",AVERAGE(F27:G27))</f>
        <v>0</v>
      </c>
      <c r="I27" s="69">
        <v>601</v>
      </c>
      <c r="J27" s="70">
        <v>84161</v>
      </c>
      <c r="K27" s="71">
        <f>IF(J27="-",0,I27*J27)</f>
        <v>50580761</v>
      </c>
      <c r="L27" s="72">
        <f>IF(H27="-","-",K27*H27)</f>
        <v>0</v>
      </c>
      <c r="M27" s="73">
        <f>IF($H27="-","-",(($K27/(-0.8+1)*((1/(1-$H27))^(-0.8+1)-1))))</f>
        <v>0</v>
      </c>
      <c r="N27" s="73">
        <f>IF($H27="-","-",(($K27/(-1.2+1)*((1/(1-$H27))^(-1.2+1)-1))))</f>
        <v>0</v>
      </c>
      <c r="O27" s="57"/>
    </row>
    <row r="28" spans="1:15" ht="29.25">
      <c r="A28" s="47" t="s">
        <v>121</v>
      </c>
      <c r="B28" s="47" t="s">
        <v>122</v>
      </c>
      <c r="C28" s="48" t="s">
        <v>123</v>
      </c>
      <c r="D28" s="49" t="s">
        <v>34</v>
      </c>
      <c r="E28" s="50" t="s">
        <v>68</v>
      </c>
      <c r="F28" s="51">
        <f>IF(E28="No aumenta",0,IF(E28="Pequeña",0,IF(E28="Moderada",0.1,IF(E28="Grande",0.4,IF(E28="Esencial",0.9,"-")))))</f>
        <v>0</v>
      </c>
      <c r="G28" s="51">
        <f>IF(E28="No aumenta",0,IF(E28="Pequeña",0.1,IF(E28="Moderada",0.4,IF(E28="Grande",0.9,IF(E28="Esencial",1,"-")))))</f>
        <v>0</v>
      </c>
      <c r="H28" s="51">
        <f>IF(F28="-","-",AVERAGE(F28:G28))</f>
        <v>0</v>
      </c>
      <c r="I28" s="157">
        <v>1668.3</v>
      </c>
      <c r="J28" s="158">
        <v>352</v>
      </c>
      <c r="K28" s="54">
        <f>IF(J28="-",0,I28*J28)</f>
        <v>587241.6</v>
      </c>
      <c r="L28" s="55">
        <f>IF(H28="-","-",K28*H28)</f>
        <v>0</v>
      </c>
      <c r="M28" s="56">
        <f>IF($H28="-","-",(($K28/(-0.8+1)*((1/(1-$H28))^(-0.8+1)-1))))</f>
        <v>0</v>
      </c>
      <c r="N28" s="56">
        <f>IF($H28="-","-",(($K28/(-1.2+1)*((1/(1-$H28))^(-1.2+1)-1))))</f>
        <v>0</v>
      </c>
      <c r="O28" s="57"/>
    </row>
    <row r="29" spans="1:15" ht="16.5">
      <c r="A29" s="64" t="s">
        <v>127</v>
      </c>
      <c r="B29" s="64" t="s">
        <v>128</v>
      </c>
      <c r="C29" s="65" t="s">
        <v>129</v>
      </c>
      <c r="D29" s="171" t="s">
        <v>40</v>
      </c>
      <c r="E29" s="67" t="s">
        <v>130</v>
      </c>
      <c r="F29" s="68">
        <f>IF(E29="No aumenta",0,IF(E29="Pequeña",0,IF(E29="Moderada",0.1,IF(E29="Grande",0.4,IF(E29="Esencial",0.9,"-")))))</f>
        <v>0.9</v>
      </c>
      <c r="G29" s="68">
        <f>IF(E29="No aumenta",0,IF(E29="Pequeña",0.1,IF(E29="Moderada",0.4,IF(E29="Grande",0.9,IF(E29="Esencial",1,"-")))))</f>
        <v>1</v>
      </c>
      <c r="H29" s="68">
        <f>IF(F29="-","-",AVERAGE(F29:G29))</f>
        <v>0.95</v>
      </c>
      <c r="I29" s="69">
        <v>706</v>
      </c>
      <c r="J29" s="70">
        <v>1332</v>
      </c>
      <c r="K29" s="71">
        <f>IF(J29="-",0,I29*J29)</f>
        <v>940392</v>
      </c>
      <c r="L29" s="72">
        <f>IF(H29="-","-",K29*H29)</f>
        <v>893372.3999999999</v>
      </c>
      <c r="M29" s="73">
        <f>IF($H29="-","-",(($K29/(-0.8+1)*((1/(1-$H29))^(-0.8+1)-1))))</f>
        <v>3858260.060060507</v>
      </c>
      <c r="N29" s="73">
        <f>IF($H29="-","-",(($K29/(-1.2+1)*((1/(1-$H29))^(-1.2+1)-1))))</f>
        <v>2119266.133898183</v>
      </c>
      <c r="O29" s="57"/>
    </row>
    <row r="30" spans="1:15" ht="29.25">
      <c r="A30" s="64" t="s">
        <v>131</v>
      </c>
      <c r="B30" s="64" t="s">
        <v>132</v>
      </c>
      <c r="C30" s="65" t="s">
        <v>133</v>
      </c>
      <c r="D30" s="66" t="s">
        <v>40</v>
      </c>
      <c r="E30" s="67" t="s">
        <v>72</v>
      </c>
      <c r="F30" s="68">
        <v>0</v>
      </c>
      <c r="G30" s="68">
        <v>0.1</v>
      </c>
      <c r="H30" s="68">
        <v>0.05</v>
      </c>
      <c r="I30" s="69">
        <v>164.4</v>
      </c>
      <c r="J30" s="70">
        <v>17</v>
      </c>
      <c r="K30" s="71">
        <f>IF(J30="-",0,I30*J30)</f>
        <v>2794.8</v>
      </c>
      <c r="L30" s="72">
        <f>IF(H30="-","-",K30*H30)</f>
        <v>139.74</v>
      </c>
      <c r="M30" s="73">
        <f>IF($H30="-","-",(($K30/(-0.8+1)*((1/(1-$H30))^(-0.8+1)-1))))</f>
        <v>144.09233250883895</v>
      </c>
      <c r="N30" s="73">
        <f>IF($H30="-","-",(($K30/(-1.2+1)*((1/(1-$H30))^(-1.2+1)-1))))</f>
        <v>142.62169470602265</v>
      </c>
      <c r="O30" s="57"/>
    </row>
    <row r="31" spans="1:15" ht="16.5">
      <c r="A31" s="134" t="s">
        <v>134</v>
      </c>
      <c r="B31" s="134" t="s">
        <v>135</v>
      </c>
      <c r="C31" s="135" t="s">
        <v>136</v>
      </c>
      <c r="D31" s="95" t="s">
        <v>50</v>
      </c>
      <c r="E31" s="136" t="s">
        <v>68</v>
      </c>
      <c r="F31" s="137">
        <v>0</v>
      </c>
      <c r="G31" s="137">
        <v>0</v>
      </c>
      <c r="H31" s="137">
        <v>0</v>
      </c>
      <c r="I31" s="138">
        <v>761.9</v>
      </c>
      <c r="J31" s="139">
        <v>10</v>
      </c>
      <c r="K31" s="140">
        <f>IF(J31="-",0,I31*J31)</f>
        <v>7619</v>
      </c>
      <c r="L31" s="141">
        <f>IF(H31="-","-",K31*H31)</f>
        <v>0</v>
      </c>
      <c r="M31" s="142">
        <f>IF($H31="-","-",(($K31/(-0.8+1)*((1/(1-$H31))^(-0.8+1)-1))))</f>
        <v>0</v>
      </c>
      <c r="N31" s="142">
        <f>IF($H31="-","-",(($K31/(-1.2+1)*((1/(1-$H31))^(-1.2+1)-1))))</f>
        <v>0</v>
      </c>
      <c r="O31" s="57"/>
    </row>
    <row r="32" spans="1:15" ht="42.75">
      <c r="A32" s="85" t="s">
        <v>137</v>
      </c>
      <c r="B32" s="85" t="s">
        <v>138</v>
      </c>
      <c r="C32" s="86" t="s">
        <v>139</v>
      </c>
      <c r="D32" s="87" t="s">
        <v>48</v>
      </c>
      <c r="E32" s="88" t="s">
        <v>49</v>
      </c>
      <c r="F32" s="89" t="str">
        <f>IF(E32="No aumenta",0,IF(E32="Pequeña",0,IF(E32="Moderada",0.1,IF(E32="Grande",0.4,IF(E32="Esencial",0.9,"-")))))</f>
        <v>-</v>
      </c>
      <c r="G32" s="89" t="str">
        <f>IF(E32="No aumenta",0,IF(E32="Pequeña",0.1,IF(E32="Moderada",0.4,IF(E32="Grande",0.9,IF(E32="Esencial",1,"-")))))</f>
        <v>-</v>
      </c>
      <c r="H32" s="89" t="str">
        <f>IF(F32="-","-",AVERAGE(F32:G32))</f>
        <v>-</v>
      </c>
      <c r="I32" s="90">
        <v>300</v>
      </c>
      <c r="J32" s="91">
        <v>11398</v>
      </c>
      <c r="K32" s="92">
        <f>IF(J32="-",0,I32*J32)</f>
        <v>3419400</v>
      </c>
      <c r="L32" s="93" t="str">
        <f>IF(H32="-","-",K32*H32)</f>
        <v>-</v>
      </c>
      <c r="M32" s="94" t="str">
        <f>IF($H32="-","-",(($K32/(-0.8+1)*((1/(1-$H32))^(-0.8+1)-1))))</f>
        <v>-</v>
      </c>
      <c r="N32" s="94" t="str">
        <f>IF($H32="-","-",(($K32/(-1.2+1)*((1/(1-$H32))^(-1.2+1)-1))))</f>
        <v>-</v>
      </c>
      <c r="O32" s="57"/>
    </row>
    <row r="33" spans="1:15" ht="16.5">
      <c r="A33" s="119" t="s">
        <v>143</v>
      </c>
      <c r="B33" s="119" t="s">
        <v>144</v>
      </c>
      <c r="C33" s="120" t="s">
        <v>145</v>
      </c>
      <c r="D33" s="121" t="s">
        <v>36</v>
      </c>
      <c r="E33" s="122" t="s">
        <v>68</v>
      </c>
      <c r="F33" s="123">
        <v>0</v>
      </c>
      <c r="G33" s="123">
        <v>0</v>
      </c>
      <c r="H33" s="123">
        <v>0</v>
      </c>
      <c r="I33" s="124">
        <v>216.9</v>
      </c>
      <c r="J33" s="125">
        <v>1042</v>
      </c>
      <c r="K33" s="126">
        <f>IF(J33="-",0,I33*J33)</f>
        <v>226009.80000000002</v>
      </c>
      <c r="L33" s="127">
        <f>IF(H33="-","-",K33*H33)</f>
        <v>0</v>
      </c>
      <c r="M33" s="128">
        <f>IF($H33="-","-",(($K33/(-0.8+1)*((1/(1-$H33))^(-0.8+1)-1))))</f>
        <v>0</v>
      </c>
      <c r="N33" s="128">
        <f>IF($H33="-","-",(($K33/(-1.2+1)*((1/(1-$H33))^(-1.2+1)-1))))</f>
        <v>0</v>
      </c>
      <c r="O33" s="57"/>
    </row>
    <row r="34" spans="1:15" ht="16.5">
      <c r="A34" s="119" t="s">
        <v>149</v>
      </c>
      <c r="B34" s="119" t="s">
        <v>150</v>
      </c>
      <c r="C34" s="120" t="s">
        <v>151</v>
      </c>
      <c r="D34" s="121" t="s">
        <v>36</v>
      </c>
      <c r="E34" s="122" t="s">
        <v>68</v>
      </c>
      <c r="F34" s="123">
        <v>0</v>
      </c>
      <c r="G34" s="123">
        <v>0</v>
      </c>
      <c r="H34" s="123">
        <v>0</v>
      </c>
      <c r="I34" s="124">
        <v>181.5</v>
      </c>
      <c r="J34" s="125">
        <v>39671</v>
      </c>
      <c r="K34" s="126">
        <f>IF(J34="-",0,I34*J34)</f>
        <v>7200286.5</v>
      </c>
      <c r="L34" s="127">
        <f>IF(H34="-","-",K34*H34)</f>
        <v>0</v>
      </c>
      <c r="M34" s="128">
        <f>IF($H34="-","-",(($K34/(-0.8+1)*((1/(1-$H34))^(-0.8+1)-1))))</f>
        <v>0</v>
      </c>
      <c r="N34" s="128">
        <f>IF($H34="-","-",(($K34/(-1.2+1)*((1/(1-$H34))^(-1.2+1)-1))))</f>
        <v>0</v>
      </c>
      <c r="O34" s="57"/>
    </row>
    <row r="35" spans="1:15" ht="16.5">
      <c r="A35" s="174" t="s">
        <v>152</v>
      </c>
      <c r="B35" s="174" t="s">
        <v>153</v>
      </c>
      <c r="C35" s="175" t="s">
        <v>154</v>
      </c>
      <c r="D35" s="79" t="s">
        <v>44</v>
      </c>
      <c r="E35" s="176" t="s">
        <v>68</v>
      </c>
      <c r="F35" s="177">
        <f>IF(E35="No aumenta",0,IF(E35="Pequeña",0,IF(E35="Moderada",0.1,IF(E35="Grande",0.4,IF(E35="Esencial",0.9,"-")))))</f>
        <v>0</v>
      </c>
      <c r="G35" s="177">
        <f>IF(E35="No aumenta",0,IF(E35="Pequeña",0.1,IF(E35="Moderada",0.4,IF(E35="Grande",0.9,IF(E35="Esencial",1,"-")))))</f>
        <v>0</v>
      </c>
      <c r="H35" s="177">
        <f>IF(F35="-","-",AVERAGE(F35:G35))</f>
        <v>0</v>
      </c>
      <c r="I35" s="178">
        <v>396.6</v>
      </c>
      <c r="J35" s="179">
        <v>532</v>
      </c>
      <c r="K35" s="180">
        <f>IF(J35="-",0,I35*J35)</f>
        <v>210991.2</v>
      </c>
      <c r="L35" s="181">
        <f>IF(H35="-","-",K35*H35)</f>
        <v>0</v>
      </c>
      <c r="M35" s="182">
        <f>IF($H35="-","-",(($K35/(-0.8+1)*((1/(1-$H35))^(-0.8+1)-1))))</f>
        <v>0</v>
      </c>
      <c r="N35" s="182">
        <f>IF($H35="-","-",(($K35/(-1.2+1)*((1/(1-$H35))^(-1.2+1)-1))))</f>
        <v>0</v>
      </c>
      <c r="O35" s="57"/>
    </row>
    <row r="36" spans="1:15" ht="42.75">
      <c r="A36" s="85" t="s">
        <v>155</v>
      </c>
      <c r="B36" s="85" t="s">
        <v>156</v>
      </c>
      <c r="C36" s="86" t="s">
        <v>157</v>
      </c>
      <c r="D36" s="87" t="s">
        <v>48</v>
      </c>
      <c r="E36" s="88" t="s">
        <v>49</v>
      </c>
      <c r="F36" s="89" t="s">
        <v>63</v>
      </c>
      <c r="G36" s="89" t="s">
        <v>63</v>
      </c>
      <c r="H36" s="89" t="s">
        <v>63</v>
      </c>
      <c r="I36" s="90">
        <v>677.7</v>
      </c>
      <c r="J36" s="91">
        <v>1804</v>
      </c>
      <c r="K36" s="92">
        <f>IF(J36="-",0,I36*J36)</f>
        <v>1222570.8</v>
      </c>
      <c r="L36" s="93" t="str">
        <f>IF(H36="-","-",K36*H36)</f>
        <v>-</v>
      </c>
      <c r="M36" s="94" t="str">
        <f>IF($H36="-","-",(($K36/(-0.8+1)*((1/(1-$H36))^(-0.8+1)-1))))</f>
        <v>-</v>
      </c>
      <c r="N36" s="94" t="str">
        <f>IF($H36="-","-",(($K36/(-1.2+1)*((1/(1-$H36))^(-1.2+1)-1))))</f>
        <v>-</v>
      </c>
      <c r="O36" s="57"/>
    </row>
    <row r="37" spans="1:15" ht="42.75">
      <c r="A37" s="85" t="s">
        <v>158</v>
      </c>
      <c r="B37" s="85" t="s">
        <v>159</v>
      </c>
      <c r="C37" s="86" t="s">
        <v>157</v>
      </c>
      <c r="D37" s="87" t="s">
        <v>48</v>
      </c>
      <c r="E37" s="88" t="s">
        <v>49</v>
      </c>
      <c r="F37" s="89" t="s">
        <v>63</v>
      </c>
      <c r="G37" s="89" t="s">
        <v>63</v>
      </c>
      <c r="H37" s="89" t="s">
        <v>63</v>
      </c>
      <c r="I37" s="90">
        <v>174.9</v>
      </c>
      <c r="J37" s="91">
        <v>1727</v>
      </c>
      <c r="K37" s="92">
        <f>IF(J37="-",0,I37*J37)</f>
        <v>302052.3</v>
      </c>
      <c r="L37" s="93" t="str">
        <f>IF(H37="-","-",K37*H37)</f>
        <v>-</v>
      </c>
      <c r="M37" s="94" t="str">
        <f>IF($H37="-","-",(($K37/(-0.8+1)*((1/(1-$H37))^(-0.8+1)-1))))</f>
        <v>-</v>
      </c>
      <c r="N37" s="94" t="str">
        <f>IF($H37="-","-",(($K37/(-1.2+1)*((1/(1-$H37))^(-1.2+1)-1))))</f>
        <v>-</v>
      </c>
      <c r="O37" s="57"/>
    </row>
    <row r="38" spans="1:15" ht="16.5">
      <c r="A38" s="64" t="s">
        <v>160</v>
      </c>
      <c r="B38" s="64" t="s">
        <v>161</v>
      </c>
      <c r="C38" s="65" t="s">
        <v>162</v>
      </c>
      <c r="D38" s="66" t="s">
        <v>40</v>
      </c>
      <c r="E38" s="67" t="s">
        <v>72</v>
      </c>
      <c r="F38" s="68">
        <v>0</v>
      </c>
      <c r="G38" s="68">
        <v>0.1</v>
      </c>
      <c r="H38" s="68">
        <v>0.05</v>
      </c>
      <c r="I38" s="69">
        <v>198.6</v>
      </c>
      <c r="J38" s="70">
        <v>4</v>
      </c>
      <c r="K38" s="71">
        <f>IF(J38="-",0,I38*J38)</f>
        <v>794.4</v>
      </c>
      <c r="L38" s="72">
        <f>IF(H38="-","-",K38*H38)</f>
        <v>39.72</v>
      </c>
      <c r="M38" s="73">
        <f>IF($H38="-","-",(($K38/(-0.8+1)*((1/(1-$H38))^(-0.8+1)-1))))</f>
        <v>40.957116410842154</v>
      </c>
      <c r="N38" s="73">
        <f>IF($H38="-","-",(($K38/(-1.2+1)*((1/(1-$H38))^(-1.2+1)-1))))</f>
        <v>40.53909913928167</v>
      </c>
      <c r="O38" s="57"/>
    </row>
    <row r="39" spans="1:15" ht="42.75">
      <c r="A39" s="64" t="s">
        <v>166</v>
      </c>
      <c r="B39" s="64" t="s">
        <v>167</v>
      </c>
      <c r="C39" s="65" t="s">
        <v>168</v>
      </c>
      <c r="D39" s="66" t="s">
        <v>40</v>
      </c>
      <c r="E39" s="67" t="s">
        <v>35</v>
      </c>
      <c r="F39" s="68">
        <v>0.4</v>
      </c>
      <c r="G39" s="68">
        <v>0.9</v>
      </c>
      <c r="H39" s="68">
        <v>0.65</v>
      </c>
      <c r="I39" s="69">
        <v>532.1</v>
      </c>
      <c r="J39" s="70">
        <v>134</v>
      </c>
      <c r="K39" s="71">
        <f>IF(J39="-",0,I39*J39)</f>
        <v>71301.40000000001</v>
      </c>
      <c r="L39" s="72">
        <f>IF(H39="-","-",K39*H39)</f>
        <v>46345.91000000001</v>
      </c>
      <c r="M39" s="73">
        <f>IF($H39="-","-",(($K39/(-0.8+1)*((1/(1-$H39))^(-0.8+1)-1))))</f>
        <v>83292.21794141861</v>
      </c>
      <c r="N39" s="73">
        <f>IF($H39="-","-",(($K39/(-1.2+1)*((1/(1-$H39))^(-1.2+1)-1))))</f>
        <v>67517.76158364295</v>
      </c>
      <c r="O39" s="57"/>
    </row>
    <row r="40" spans="1:15" ht="16.5">
      <c r="A40" s="64" t="s">
        <v>169</v>
      </c>
      <c r="B40" s="64" t="s">
        <v>170</v>
      </c>
      <c r="C40" s="65" t="s">
        <v>171</v>
      </c>
      <c r="D40" s="66" t="s">
        <v>40</v>
      </c>
      <c r="E40" s="67" t="s">
        <v>35</v>
      </c>
      <c r="F40" s="68">
        <v>0.4</v>
      </c>
      <c r="G40" s="68">
        <v>0.9</v>
      </c>
      <c r="H40" s="68">
        <v>0.65</v>
      </c>
      <c r="I40" s="69">
        <v>427.4</v>
      </c>
      <c r="J40" s="70">
        <v>1518</v>
      </c>
      <c r="K40" s="71">
        <f>IF(J40="-",0,I40*J40)</f>
        <v>648793.2</v>
      </c>
      <c r="L40" s="72">
        <f>IF(H40="-","-",K40*H40)</f>
        <v>421715.57999999996</v>
      </c>
      <c r="M40" s="73">
        <f>IF($H40="-","-",(($K40/(-0.8+1)*((1/(1-$H40))^(-0.8+1)-1))))</f>
        <v>757901.3120823768</v>
      </c>
      <c r="N40" s="73">
        <f>IF($H40="-","-",(($K40/(-1.2+1)*((1/(1-$H40))^(-1.2+1)-1))))</f>
        <v>614364.7192718342</v>
      </c>
      <c r="O40" s="57"/>
    </row>
    <row r="41" spans="1:15" ht="29.25">
      <c r="A41" s="134" t="s">
        <v>172</v>
      </c>
      <c r="B41" s="134" t="s">
        <v>173</v>
      </c>
      <c r="C41" s="135" t="s">
        <v>174</v>
      </c>
      <c r="D41" s="95" t="s">
        <v>50</v>
      </c>
      <c r="E41" s="136" t="s">
        <v>68</v>
      </c>
      <c r="F41" s="137">
        <f>IF(E41="No aumenta",0,IF(E41="Pequeña",0,IF(E41="Moderada",0.1,IF(E41="Grande",0.4,IF(E41="Esencial",0.9,"-")))))</f>
        <v>0</v>
      </c>
      <c r="G41" s="137">
        <f>IF(E41="No aumenta",0,IF(E41="Pequeña",0.1,IF(E41="Moderada",0.4,IF(E41="Grande",0.9,IF(E41="Esencial",1,"-")))))</f>
        <v>0</v>
      </c>
      <c r="H41" s="137">
        <f>IF(F41="-","-",AVERAGE(F41:G41))</f>
        <v>0</v>
      </c>
      <c r="I41" s="138">
        <v>223.6</v>
      </c>
      <c r="J41" s="139">
        <v>405</v>
      </c>
      <c r="K41" s="140">
        <f>IF(J41="-",0,I41*J41)</f>
        <v>90558</v>
      </c>
      <c r="L41" s="141">
        <f>IF(H41="-","-",K41*H41)</f>
        <v>0</v>
      </c>
      <c r="M41" s="142">
        <f>IF($H41="-","-",(($K41/(-0.8+1)*((1/(1-$H41))^(-0.8+1)-1))))</f>
        <v>0</v>
      </c>
      <c r="N41" s="142">
        <f>IF($H41="-","-",(($K41/(-1.2+1)*((1/(1-$H41))^(-1.2+1)-1))))</f>
        <v>0</v>
      </c>
      <c r="O41" s="57"/>
    </row>
    <row r="42" spans="1:15" ht="29.25">
      <c r="A42" s="85" t="s">
        <v>175</v>
      </c>
      <c r="B42" s="85" t="s">
        <v>176</v>
      </c>
      <c r="C42" s="86" t="s">
        <v>174</v>
      </c>
      <c r="D42" s="87" t="s">
        <v>48</v>
      </c>
      <c r="E42" s="88" t="s">
        <v>68</v>
      </c>
      <c r="F42" s="89">
        <f>IF(E42="No aumenta",0,IF(E42="Pequeña",0,IF(E42="Moderada",0.1,IF(E42="Grande",0.4,IF(E42="Esencial",0.9,"-")))))</f>
        <v>0</v>
      </c>
      <c r="G42" s="89">
        <f>IF(E42="No aumenta",0,IF(E42="Pequeña",0.1,IF(E42="Moderada",0.4,IF(E42="Grande",0.9,IF(E42="Esencial",1,"-")))))</f>
        <v>0</v>
      </c>
      <c r="H42" s="89">
        <f>IF(F42="-","-",AVERAGE(F42:G42))</f>
        <v>0</v>
      </c>
      <c r="I42" s="90">
        <v>1847.6</v>
      </c>
      <c r="J42" s="91">
        <v>556</v>
      </c>
      <c r="K42" s="92">
        <f>IF(J42="-",0,I42*J42)</f>
        <v>1027265.6</v>
      </c>
      <c r="L42" s="93">
        <f>IF(H42="-","-",K42*H42)</f>
        <v>0</v>
      </c>
      <c r="M42" s="94">
        <f>IF($H42="-","-",(($K42/(-0.8+1)*((1/(1-$H42))^(-0.8+1)-1))))</f>
        <v>0</v>
      </c>
      <c r="N42" s="94">
        <f>IF($H42="-","-",(($K42/(-1.2+1)*((1/(1-$H42))^(-1.2+1)-1))))</f>
        <v>0</v>
      </c>
      <c r="O42" s="57"/>
    </row>
    <row r="43" spans="1:15" ht="29.25">
      <c r="A43" s="64" t="s">
        <v>177</v>
      </c>
      <c r="B43" s="64" t="s">
        <v>178</v>
      </c>
      <c r="C43" s="65" t="s">
        <v>179</v>
      </c>
      <c r="D43" s="66" t="s">
        <v>40</v>
      </c>
      <c r="E43" s="67" t="s">
        <v>35</v>
      </c>
      <c r="F43" s="68">
        <v>0.4</v>
      </c>
      <c r="G43" s="68">
        <v>0.9</v>
      </c>
      <c r="H43" s="68">
        <v>0.65</v>
      </c>
      <c r="I43" s="69">
        <v>471.3</v>
      </c>
      <c r="J43" s="70">
        <v>347</v>
      </c>
      <c r="K43" s="71">
        <f>IF(J43="-",0,I43*J43)</f>
        <v>163541.1</v>
      </c>
      <c r="L43" s="72">
        <f>IF(H43="-","-",K43*H43)</f>
        <v>106301.71500000001</v>
      </c>
      <c r="M43" s="73">
        <f>IF($H43="-","-",(($K43/(-0.8+1)*((1/(1-$H43))^(-0.8+1)-1))))</f>
        <v>191043.9478548715</v>
      </c>
      <c r="N43" s="73">
        <f>IF($H43="-","-",(($K43/(-1.2+1)*((1/(1-$H43))^(-1.2+1)-1))))</f>
        <v>154862.72357803225</v>
      </c>
      <c r="O43" s="57"/>
    </row>
    <row r="44" spans="1:15" ht="42.75">
      <c r="A44" s="183" t="s">
        <v>180</v>
      </c>
      <c r="B44" s="183" t="s">
        <v>181</v>
      </c>
      <c r="C44" s="184" t="s">
        <v>182</v>
      </c>
      <c r="D44" s="101" t="s">
        <v>54</v>
      </c>
      <c r="E44" s="185" t="s">
        <v>62</v>
      </c>
      <c r="F44" s="186" t="s">
        <v>63</v>
      </c>
      <c r="G44" s="186" t="s">
        <v>63</v>
      </c>
      <c r="H44" s="186" t="s">
        <v>63</v>
      </c>
      <c r="I44" s="187">
        <v>212.7</v>
      </c>
      <c r="J44" s="188">
        <v>52846</v>
      </c>
      <c r="K44" s="189">
        <f>IF(J44="-",0,I44*J44)</f>
        <v>11240344.2</v>
      </c>
      <c r="L44" s="190" t="str">
        <f>IF(H44="-","-",K44*H44)</f>
        <v>-</v>
      </c>
      <c r="M44" s="191" t="str">
        <f>IF($H44="-","-",(($K44/(-0.8+1)*((1/(1-$H44))^(-0.8+1)-1))))</f>
        <v>-</v>
      </c>
      <c r="N44" s="191" t="str">
        <f>IF($H44="-","-",(($K44/(-1.2+1)*((1/(1-$H44))^(-1.2+1)-1))))</f>
        <v>-</v>
      </c>
      <c r="O44" s="57"/>
    </row>
    <row r="45" spans="1:15" ht="42.75">
      <c r="A45" s="85" t="s">
        <v>251</v>
      </c>
      <c r="B45" s="85" t="s">
        <v>184</v>
      </c>
      <c r="C45" s="86" t="s">
        <v>185</v>
      </c>
      <c r="D45" s="87" t="s">
        <v>48</v>
      </c>
      <c r="E45" s="88" t="s">
        <v>130</v>
      </c>
      <c r="F45" s="89">
        <f>IF(E45="No aumenta",0,IF(E45="Pequeña",0,IF(E45="Moderada",0.1,IF(E45="Grande",0.4,IF(E45="Esencial",0.9,"-")))))</f>
        <v>0.9</v>
      </c>
      <c r="G45" s="89">
        <f>IF(E45="No aumenta",0,IF(E45="Pequeña",0.1,IF(E45="Moderada",0.4,IF(E45="Grande",0.9,IF(E45="Esencial",1,"-")))))</f>
        <v>1</v>
      </c>
      <c r="H45" s="89">
        <f>IF(F45="-","-",AVERAGE(F45:G45))</f>
        <v>0.95</v>
      </c>
      <c r="I45" s="90">
        <v>333.5</v>
      </c>
      <c r="J45" s="91">
        <f>238+625</f>
        <v>863</v>
      </c>
      <c r="K45" s="92">
        <f>IF(J45="-",0,I45*J45)</f>
        <v>287810.5</v>
      </c>
      <c r="L45" s="93">
        <f>IF(H45="-","-",K45*H45)</f>
        <v>273419.975</v>
      </c>
      <c r="M45" s="94">
        <f>IF($H45="-","-",(($K45/(-0.8+1)*((1/(1-$H45))^(-0.8+1)-1))))</f>
        <v>1180834.967775188</v>
      </c>
      <c r="N45" s="94">
        <f>IF($H45="-","-",(($K45/(-1.2+1)*((1/(1-$H45))^(-1.2+1)-1))))</f>
        <v>648609.3518769863</v>
      </c>
      <c r="O45" s="57"/>
    </row>
    <row r="46" spans="1:15" ht="16.5">
      <c r="A46" s="64" t="s">
        <v>186</v>
      </c>
      <c r="B46" s="64" t="s">
        <v>187</v>
      </c>
      <c r="C46" s="192" t="s">
        <v>188</v>
      </c>
      <c r="D46" s="66" t="s">
        <v>40</v>
      </c>
      <c r="E46" s="67" t="s">
        <v>35</v>
      </c>
      <c r="F46" s="68">
        <v>0.4</v>
      </c>
      <c r="G46" s="68">
        <v>0.9</v>
      </c>
      <c r="H46" s="68">
        <v>0.65</v>
      </c>
      <c r="I46" s="69">
        <v>316.1</v>
      </c>
      <c r="J46" s="70">
        <v>21</v>
      </c>
      <c r="K46" s="71">
        <f>IF(J46="-",0,I46*J46)</f>
        <v>6638.1</v>
      </c>
      <c r="L46" s="72">
        <f>IF(H46="-","-",K46*H46)</f>
        <v>4314.765</v>
      </c>
      <c r="M46" s="73">
        <f>IF($H46="-","-",(($K46/(-0.8+1)*((1/(1-$H46))^(-0.8+1)-1))))</f>
        <v>7754.435002916223</v>
      </c>
      <c r="N46" s="73">
        <f>IF($H46="-","-",(($K46/(-1.2+1)*((1/(1-$H46))^(-1.2+1)-1))))</f>
        <v>6285.846465404328</v>
      </c>
      <c r="O46" s="57"/>
    </row>
    <row r="47" spans="1:15" ht="16.5">
      <c r="A47" s="174" t="s">
        <v>189</v>
      </c>
      <c r="B47" s="174" t="s">
        <v>190</v>
      </c>
      <c r="C47" s="193" t="s">
        <v>191</v>
      </c>
      <c r="D47" s="79" t="s">
        <v>44</v>
      </c>
      <c r="E47" s="176" t="s">
        <v>79</v>
      </c>
      <c r="F47" s="177">
        <f>IF(E47="No aumenta",0,IF(E47="Pequeña",0,IF(E47="Moderada",0.1,IF(E47="Grande",0.4,IF(E47="Esencial",0.9,"-")))))</f>
        <v>0.1</v>
      </c>
      <c r="G47" s="177">
        <f>IF(E47="No aumenta",0,IF(E47="Pequeña",0.1,IF(E47="Moderada",0.4,IF(E47="Grande",0.9,IF(E47="Esencial",1,"-")))))</f>
        <v>0.4</v>
      </c>
      <c r="H47" s="177">
        <f>IF(F47="-","-",AVERAGE(F47:G47))</f>
        <v>0.25</v>
      </c>
      <c r="I47" s="178">
        <v>283.3</v>
      </c>
      <c r="J47" s="179">
        <v>977</v>
      </c>
      <c r="K47" s="180">
        <f>IF(J47="-",0,I47*J47)</f>
        <v>276784.10000000003</v>
      </c>
      <c r="L47" s="181">
        <f>IF(H47="-","-",K47*H47)</f>
        <v>69196.02500000001</v>
      </c>
      <c r="M47" s="182">
        <f>IF($H47="-","-",(($K47/(-0.8+1)*((1/(1-$H47))^(-0.8+1)-1))))</f>
        <v>81961.0877161927</v>
      </c>
      <c r="N47" s="182">
        <f>IF($H47="-","-",(($K47/(-1.2+1)*((1/(1-$H47))^(-1.2+1)-1))))</f>
        <v>77378.43932500362</v>
      </c>
      <c r="O47" s="57"/>
    </row>
    <row r="48" spans="1:15" ht="16.5">
      <c r="A48" s="119" t="s">
        <v>198</v>
      </c>
      <c r="B48" s="119" t="s">
        <v>199</v>
      </c>
      <c r="C48" s="120" t="s">
        <v>200</v>
      </c>
      <c r="D48" s="121" t="s">
        <v>36</v>
      </c>
      <c r="E48" s="122" t="s">
        <v>68</v>
      </c>
      <c r="F48" s="123">
        <f>IF(E48="No aumenta",0,IF(E48="Pequeña",0,IF(E48="Moderada",0.1,IF(E48="Grande",0.4,IF(E48="Esencial",0.9,"-")))))</f>
        <v>0</v>
      </c>
      <c r="G48" s="123">
        <f>IF(E48="No aumenta",0,IF(E48="Pequeña",0.1,IF(E48="Moderada",0.4,IF(E48="Grande",0.9,IF(E48="Esencial",1,"-")))))</f>
        <v>0</v>
      </c>
      <c r="H48" s="123">
        <f>IF(F48="-","-",AVERAGE(F48:G48))</f>
        <v>0</v>
      </c>
      <c r="I48" s="124">
        <v>183.6</v>
      </c>
      <c r="J48" s="125">
        <v>606</v>
      </c>
      <c r="K48" s="126">
        <f>IF(J48="-",0,I48*J48)</f>
        <v>111261.59999999999</v>
      </c>
      <c r="L48" s="127">
        <f>IF(H48="-","-",K48*H48)</f>
        <v>0</v>
      </c>
      <c r="M48" s="128">
        <f>IF($H48="-","-",(($K48/(-0.8+1)*((1/(1-$H48))^(-0.8+1)-1))))</f>
        <v>0</v>
      </c>
      <c r="N48" s="128">
        <f>IF($H48="-","-",(($K48/(-1.2+1)*((1/(1-$H48))^(-1.2+1)-1))))</f>
        <v>0</v>
      </c>
      <c r="O48" s="57"/>
    </row>
    <row r="49" spans="1:15" ht="16.5">
      <c r="A49" s="119" t="s">
        <v>207</v>
      </c>
      <c r="B49" s="119" t="s">
        <v>208</v>
      </c>
      <c r="C49" s="120" t="s">
        <v>209</v>
      </c>
      <c r="D49" s="121" t="s">
        <v>36</v>
      </c>
      <c r="E49" s="122" t="s">
        <v>68</v>
      </c>
      <c r="F49" s="123">
        <v>0</v>
      </c>
      <c r="G49" s="123">
        <v>0</v>
      </c>
      <c r="H49" s="123">
        <v>0</v>
      </c>
      <c r="I49" s="124">
        <v>200</v>
      </c>
      <c r="J49" s="125">
        <v>40</v>
      </c>
      <c r="K49" s="126">
        <f>IF(J49="-",0,I49*J49)</f>
        <v>8000</v>
      </c>
      <c r="L49" s="127">
        <f>IF(H49="-","-",K49*H49)</f>
        <v>0</v>
      </c>
      <c r="M49" s="128">
        <f>IF($H49="-","-",(($K49/(-0.8+1)*((1/(1-$H49))^(-0.8+1)-1))))</f>
        <v>0</v>
      </c>
      <c r="N49" s="128">
        <f>IF($H49="-","-",(($K49/(-1.2+1)*((1/(1-$H49))^(-1.2+1)-1))))</f>
        <v>0</v>
      </c>
      <c r="O49" s="57"/>
    </row>
    <row r="50" spans="1:15" ht="16.5">
      <c r="A50" s="85" t="s">
        <v>213</v>
      </c>
      <c r="B50" s="85" t="s">
        <v>214</v>
      </c>
      <c r="C50" s="86" t="s">
        <v>215</v>
      </c>
      <c r="D50" s="87" t="s">
        <v>48</v>
      </c>
      <c r="E50" s="88" t="s">
        <v>68</v>
      </c>
      <c r="F50" s="89">
        <v>0</v>
      </c>
      <c r="G50" s="89">
        <v>0</v>
      </c>
      <c r="H50" s="89">
        <v>0</v>
      </c>
      <c r="I50" s="90">
        <v>508.7</v>
      </c>
      <c r="J50" s="91">
        <v>523</v>
      </c>
      <c r="K50" s="92">
        <f>IF(J50="-",0,I50*J50)</f>
        <v>266050.1</v>
      </c>
      <c r="L50" s="93">
        <f>IF(H50="-","-",K50*H50)</f>
        <v>0</v>
      </c>
      <c r="M50" s="94">
        <f>IF($H50="-","-",(($K50/(-0.8+1)*((1/(1-$H50))^(-0.8+1)-1))))</f>
        <v>0</v>
      </c>
      <c r="N50" s="94">
        <f>IF($H50="-","-",(($K50/(-1.2+1)*((1/(1-$H50))^(-1.2+1)-1))))</f>
        <v>0</v>
      </c>
      <c r="O50" s="57"/>
    </row>
    <row r="51" spans="1:15" ht="16.5">
      <c r="A51" s="64" t="s">
        <v>216</v>
      </c>
      <c r="B51" s="64" t="s">
        <v>217</v>
      </c>
      <c r="C51" s="65" t="s">
        <v>218</v>
      </c>
      <c r="D51" s="66" t="s">
        <v>40</v>
      </c>
      <c r="E51" s="67" t="s">
        <v>79</v>
      </c>
      <c r="F51" s="68">
        <f>IF(E51="No aumenta",0,IF(E51="Pequeña",0,IF(E51="Moderada",0.1,IF(E51="Grande",0.4,IF(E51="Esencial",0.9,"-")))))</f>
        <v>0.1</v>
      </c>
      <c r="G51" s="68">
        <f>IF(E51="No aumenta",0,IF(E51="Pequeña",0.1,IF(E51="Moderada",0.4,IF(E51="Grande",0.9,IF(E51="Esencial",1,"-")))))</f>
        <v>0.4</v>
      </c>
      <c r="H51" s="68">
        <f>IF(F51="-","-",AVERAGE(F51:G51))</f>
        <v>0.25</v>
      </c>
      <c r="I51" s="69">
        <v>1310.8</v>
      </c>
      <c r="J51" s="70">
        <v>44</v>
      </c>
      <c r="K51" s="71">
        <f>IF(J51="-",0,I51*J51)</f>
        <v>57675.2</v>
      </c>
      <c r="L51" s="72">
        <f>IF(H51="-","-",K51*H51)</f>
        <v>14418.8</v>
      </c>
      <c r="M51" s="73">
        <f>IF($H51="-","-",(($K51/(-0.8+1)*((1/(1-$H51))^(-0.8+1)-1))))</f>
        <v>17078.734386292264</v>
      </c>
      <c r="N51" s="73">
        <f>IF($H51="-","-",(($K51/(-1.2+1)*((1/(1-$H51))^(-1.2+1)-1))))</f>
        <v>16123.819842821349</v>
      </c>
      <c r="O51" s="57"/>
    </row>
    <row r="52" spans="1:13" s="1" customFormat="1" ht="29.25">
      <c r="A52" s="197" t="s">
        <v>219</v>
      </c>
      <c r="B52" s="197" t="s">
        <v>220</v>
      </c>
      <c r="C52" s="198" t="s">
        <v>221</v>
      </c>
      <c r="D52" s="113" t="s">
        <v>64</v>
      </c>
      <c r="E52" s="199" t="s">
        <v>68</v>
      </c>
      <c r="F52" s="200">
        <f>IF(E52="No aumenta",0,IF(E52="Pequeña",0,IF(E52="Moderada",0.1,IF(E52="Grande",0.4,IF(E52="Esencial",0.9,"-")))))</f>
        <v>0</v>
      </c>
      <c r="G52" s="200">
        <f>IF(E52="No aumenta",0,IF(E52="Pequeña",0.1,IF(E52="Moderada",0.4,IF(E52="Grande",0.9,IF(E52="Esencial",1,"-")))))</f>
        <v>0</v>
      </c>
      <c r="H52" s="200">
        <f>IF(F52="-","-",AVERAGE(F52:G52))</f>
        <v>0</v>
      </c>
      <c r="I52" s="201">
        <v>31.2</v>
      </c>
      <c r="J52" s="202">
        <v>215724</v>
      </c>
      <c r="K52" s="203">
        <f>IF(J52="-",0,I52*J52)</f>
        <v>6730588.8</v>
      </c>
      <c r="L52" s="204">
        <f>IF($H52="-","-",(($K52/(-0.8+1)*((1/(1-$H52))^(-0.8+1)-1))))</f>
        <v>0</v>
      </c>
      <c r="M52" s="57"/>
    </row>
    <row r="53" spans="1:15" ht="29.25">
      <c r="A53" s="174" t="s">
        <v>222</v>
      </c>
      <c r="B53" s="174" t="s">
        <v>223</v>
      </c>
      <c r="C53" s="175" t="s">
        <v>224</v>
      </c>
      <c r="D53" s="79" t="s">
        <v>44</v>
      </c>
      <c r="E53" s="176" t="s">
        <v>79</v>
      </c>
      <c r="F53" s="177">
        <v>0.1</v>
      </c>
      <c r="G53" s="177">
        <v>0.4</v>
      </c>
      <c r="H53" s="177">
        <v>0.25</v>
      </c>
      <c r="I53" s="178">
        <v>380.1</v>
      </c>
      <c r="J53" s="179">
        <v>2097</v>
      </c>
      <c r="K53" s="180">
        <f>IF(J53="-",0,I53*J53)</f>
        <v>797069.7000000001</v>
      </c>
      <c r="L53" s="181">
        <f>IF(H53="-","-",K53*H53)</f>
        <v>199267.42500000002</v>
      </c>
      <c r="M53" s="182">
        <f>IF($H53="-","-",(($K53/(-0.8+1)*((1/(1-$H53))^(-0.8+1)-1))))</f>
        <v>236027.64608812213</v>
      </c>
      <c r="N53" s="182">
        <f>IF($H53="-","-",(($K53/(-1.2+1)*((1/(1-$H53))^(-1.2+1)-1))))</f>
        <v>222830.75299212942</v>
      </c>
      <c r="O53" s="57"/>
    </row>
    <row r="54" spans="1:15" ht="16.5">
      <c r="A54" s="85" t="s">
        <v>231</v>
      </c>
      <c r="B54" s="85" t="s">
        <v>232</v>
      </c>
      <c r="C54" s="86" t="s">
        <v>233</v>
      </c>
      <c r="D54" s="87" t="s">
        <v>48</v>
      </c>
      <c r="E54" s="88" t="s">
        <v>72</v>
      </c>
      <c r="F54" s="89">
        <v>0</v>
      </c>
      <c r="G54" s="89">
        <v>0.1</v>
      </c>
      <c r="H54" s="89">
        <v>0.05</v>
      </c>
      <c r="I54" s="90">
        <v>440.6</v>
      </c>
      <c r="J54" s="91">
        <v>7609</v>
      </c>
      <c r="K54" s="92">
        <f>IF(J54="-",0,I54*J54)</f>
        <v>3352525.4000000004</v>
      </c>
      <c r="L54" s="93">
        <f>IF(H54="-","-",K54*H54)</f>
        <v>167626.27000000002</v>
      </c>
      <c r="M54" s="94">
        <f>IF($H54="-","-",(($K54/(-0.8+1)*((1/(1-$H54))^(-0.8+1)-1))))</f>
        <v>172847.14637223713</v>
      </c>
      <c r="N54" s="94">
        <f>IF($H54="-","-",(($K54/(-1.2+1)*((1/(1-$H54))^(-1.2+1)-1))))</f>
        <v>171083.030661581</v>
      </c>
      <c r="O54" s="57"/>
    </row>
    <row r="55" spans="1:15" ht="29.25">
      <c r="A55" s="47" t="s">
        <v>234</v>
      </c>
      <c r="B55" s="47" t="s">
        <v>235</v>
      </c>
      <c r="C55" s="48" t="s">
        <v>236</v>
      </c>
      <c r="D55" s="49" t="s">
        <v>34</v>
      </c>
      <c r="E55" s="50" t="s">
        <v>68</v>
      </c>
      <c r="F55" s="51" t="s">
        <v>63</v>
      </c>
      <c r="G55" s="51" t="s">
        <v>63</v>
      </c>
      <c r="H55" s="51" t="s">
        <v>63</v>
      </c>
      <c r="I55" s="157">
        <v>2087.7</v>
      </c>
      <c r="J55" s="158">
        <v>658</v>
      </c>
      <c r="K55" s="54">
        <f>IF(J55="-",0,I55*J55)</f>
        <v>1373706.5999999999</v>
      </c>
      <c r="L55" s="55" t="str">
        <f>IF(H55="-","-",K55*H55)</f>
        <v>-</v>
      </c>
      <c r="M55" s="56" t="str">
        <f>IF($H55="-","-",(($K55/(-0.8+1)*((1/(1-$H55))^(-0.8+1)-1))))</f>
        <v>-</v>
      </c>
      <c r="N55" s="56" t="str">
        <f>IF($H55="-","-",(($K55/(-1.2+1)*((1/(1-$H55))^(-1.2+1)-1))))</f>
        <v>-</v>
      </c>
      <c r="O55" s="57"/>
    </row>
    <row r="56" spans="1:15" ht="29.25">
      <c r="A56" s="119" t="s">
        <v>240</v>
      </c>
      <c r="B56" s="119" t="s">
        <v>241</v>
      </c>
      <c r="C56" s="120" t="s">
        <v>242</v>
      </c>
      <c r="D56" s="121" t="s">
        <v>36</v>
      </c>
      <c r="E56" s="122" t="s">
        <v>68</v>
      </c>
      <c r="F56" s="123">
        <v>0</v>
      </c>
      <c r="G56" s="123">
        <v>0</v>
      </c>
      <c r="H56" s="123">
        <v>0</v>
      </c>
      <c r="I56" s="124">
        <v>230.1</v>
      </c>
      <c r="J56" s="125">
        <v>155849</v>
      </c>
      <c r="K56" s="126">
        <f>IF(J56="-",0,I56*J56)</f>
        <v>35860854.9</v>
      </c>
      <c r="L56" s="127">
        <f>IF(H56="-","-",K56*H56)</f>
        <v>0</v>
      </c>
      <c r="M56" s="128">
        <f>IF($H56="-","-",(($K56/(-0.8+1)*((1/(1-$H56))^(-0.8+1)-1))))</f>
        <v>0</v>
      </c>
      <c r="N56" s="128">
        <f>IF($H56="-","-",(($K56/(-1.2+1)*((1/(1-$H56))^(-1.2+1)-1))))</f>
        <v>0</v>
      </c>
      <c r="O56" s="57"/>
    </row>
    <row r="57" spans="9:14" ht="16.5">
      <c r="I57" s="205"/>
      <c r="J57" s="206"/>
      <c r="K57" s="207"/>
      <c r="L57" s="208"/>
      <c r="M57" s="209"/>
      <c r="N57" s="209"/>
    </row>
    <row r="58" spans="1:14" ht="30" customHeight="1">
      <c r="A58" s="210" t="s">
        <v>243</v>
      </c>
      <c r="B58" s="210" t="s">
        <v>248</v>
      </c>
      <c r="C58" s="210"/>
      <c r="D58" s="210"/>
      <c r="E58" s="210"/>
      <c r="F58" s="211">
        <f>AVERAGE(F9:F56)</f>
        <v>0.15945945945945944</v>
      </c>
      <c r="G58" s="211">
        <f>AVERAGE(G9:G56)</f>
        <v>0.3432432432432433</v>
      </c>
      <c r="H58" s="211">
        <f>AVERAGE(H9:H56)</f>
        <v>0.2513513513513514</v>
      </c>
      <c r="I58" s="212">
        <f>AVERAGE(I9:I56)</f>
        <v>637.2249999999999</v>
      </c>
      <c r="J58" s="213">
        <f>AVERAGE(J9:J56)</f>
        <v>14470.625</v>
      </c>
      <c r="K58" s="214">
        <f>SUM(K9:K56)</f>
        <v>160259807.19999996</v>
      </c>
      <c r="L58" s="215">
        <f>SUM(L9:L56)</f>
        <v>5525818.064999999</v>
      </c>
      <c r="M58" s="216">
        <f>SUM(M9:M56)</f>
        <v>12045218.147154804</v>
      </c>
      <c r="N58" s="216">
        <f>SUM(N9:N56)</f>
        <v>8652358.097700732</v>
      </c>
    </row>
    <row r="59" spans="16:22" ht="34.5" customHeight="1">
      <c r="P59" s="12" t="s">
        <v>255</v>
      </c>
      <c r="Q59" s="12"/>
      <c r="R59" s="12"/>
      <c r="S59" s="12"/>
      <c r="T59" s="12"/>
      <c r="U59" s="12"/>
      <c r="V59" s="12"/>
    </row>
    <row r="61" spans="16:22" ht="56.25" customHeight="1">
      <c r="P61" s="16" t="s">
        <v>256</v>
      </c>
      <c r="Q61" s="23" t="s">
        <v>257</v>
      </c>
      <c r="R61" s="20" t="s">
        <v>258</v>
      </c>
      <c r="S61" s="21" t="s">
        <v>259</v>
      </c>
      <c r="T61" s="24" t="s">
        <v>260</v>
      </c>
      <c r="U61" s="22" t="s">
        <v>261</v>
      </c>
      <c r="V61" s="22"/>
    </row>
    <row r="62" spans="16:22" ht="16.5">
      <c r="P62" s="32"/>
      <c r="Q62" s="32"/>
      <c r="R62" s="29" t="s">
        <v>262</v>
      </c>
      <c r="S62" s="30" t="s">
        <v>263</v>
      </c>
      <c r="T62" s="34" t="s">
        <v>264</v>
      </c>
      <c r="U62" s="31">
        <v>-0.8</v>
      </c>
      <c r="V62" s="31">
        <v>-1.2</v>
      </c>
    </row>
    <row r="63" spans="16:22" ht="29.25">
      <c r="P63" s="43"/>
      <c r="Q63" s="19" t="s">
        <v>265</v>
      </c>
      <c r="R63" s="40" t="s">
        <v>266</v>
      </c>
      <c r="S63" s="41" t="s">
        <v>266</v>
      </c>
      <c r="T63" s="44"/>
      <c r="U63" s="42" t="s">
        <v>266</v>
      </c>
      <c r="V63" s="42" t="s">
        <v>266</v>
      </c>
    </row>
    <row r="64" spans="16:22" ht="16.5">
      <c r="P64" s="43"/>
      <c r="Q64" s="43"/>
      <c r="R64" s="40"/>
      <c r="S64" s="45"/>
      <c r="T64" s="44"/>
      <c r="U64" s="46"/>
      <c r="V64" s="46"/>
    </row>
    <row r="65" spans="16:22" ht="16.5">
      <c r="P65" s="58" t="s">
        <v>36</v>
      </c>
      <c r="Q65" s="59">
        <f>SUMIF($D$9:$D$56,$P65,$K$9:$K$56)/SUMIF($D$9:$D$56,$P65,$J$9:$J$56)</f>
        <v>212.61942524138718</v>
      </c>
      <c r="R65" s="217">
        <f>SUMIF($D$9:$D$56,$P65,$K$9:$K$56)</f>
        <v>59543644.8</v>
      </c>
      <c r="S65" s="218">
        <f>SUMIF($D$9:$D$56,$P65,$L$9:$L$56)</f>
        <v>0</v>
      </c>
      <c r="T65" s="62">
        <f>IF(R65=0,"-",S65/R65)</f>
        <v>0</v>
      </c>
      <c r="U65" s="219">
        <f>SUMIF($D$9:$D$56,$P65,$M$9:$M$56)</f>
        <v>0</v>
      </c>
      <c r="V65" s="219">
        <f>SUMIF($D$9:$D$56,$P65,$N$9:$N$56)</f>
        <v>0</v>
      </c>
    </row>
    <row r="66" spans="16:22" ht="16.5">
      <c r="P66" s="66" t="s">
        <v>40</v>
      </c>
      <c r="Q66" s="74">
        <f>SUMIF($D$9:$D$56,$P66,$K$9:$K$56)/SUMIF($D$9:$D$56,$P66,$J$9:$J$56)</f>
        <v>577.4104959124729</v>
      </c>
      <c r="R66" s="220">
        <f>SUMIF($D$9:$D$56,$P66,$K$9:$K$56)</f>
        <v>56575257.800000004</v>
      </c>
      <c r="S66" s="221">
        <f>SUMIF($D$9:$D$56,$P66,$L$9:$L$56)</f>
        <v>4043581.3199999994</v>
      </c>
      <c r="T66" s="77">
        <f>IF(R66=0,"-",S66/R66)</f>
        <v>0.07147260971031756</v>
      </c>
      <c r="U66" s="222">
        <f>SUMIF($D$9:$D$56,$P66,$M$9:$M$56)</f>
        <v>9468776.741083115</v>
      </c>
      <c r="V66" s="222">
        <f>SUMIF($D$9:$D$56,$P66,$N$9:$N$56)</f>
        <v>6680380.158425649</v>
      </c>
    </row>
    <row r="67" spans="16:22" ht="16.5">
      <c r="P67" s="79" t="s">
        <v>44</v>
      </c>
      <c r="Q67" s="80">
        <f>SUMIF($D$9:$D$56,$P67,$K$9:$K$56)/SUMIF($D$9:$D$56,$P67,$J$9:$J$56)</f>
        <v>356.3075429839157</v>
      </c>
      <c r="R67" s="223">
        <f>SUMIF($D$9:$D$56,$P67,$K$9:$K$56)</f>
        <v>1284845</v>
      </c>
      <c r="S67" s="224">
        <f>SUMIF($D$9:$D$56,$P67,$L$9:$L$56)</f>
        <v>268463.45</v>
      </c>
      <c r="T67" s="83">
        <f>IF(R67=0,"-",S67/R67)</f>
        <v>0.20894617638703503</v>
      </c>
      <c r="U67" s="225">
        <f>SUMIF($D$9:$D$56,$P67,$M$9:$M$56)</f>
        <v>317988.73380431486</v>
      </c>
      <c r="V67" s="225">
        <f>SUMIF($D$9:$D$56,$P67,$N$9:$N$56)</f>
        <v>300209.1923171331</v>
      </c>
    </row>
    <row r="68" spans="16:22" ht="16.5">
      <c r="P68" s="95" t="s">
        <v>50</v>
      </c>
      <c r="Q68" s="96">
        <f>SUMIF($D$9:$D$56,$P68,$K$9:$K$56)/SUMIF($D$9:$D$56,$P68,$J$9:$J$56)</f>
        <v>531.6561282367446</v>
      </c>
      <c r="R68" s="226">
        <f>SUMIF($D$9:$D$56,$P68,$K$9:$K$56)</f>
        <v>2155865.5999999996</v>
      </c>
      <c r="S68" s="227">
        <f>SUMIF($D$9:$D$56,$P68,$L$9:$L$56)</f>
        <v>251528.845</v>
      </c>
      <c r="T68" s="99">
        <f>IF(R68=0,"-",S68/R68)</f>
        <v>0.11667185793029029</v>
      </c>
      <c r="U68" s="228">
        <f>SUMIF($D$9:$D$56,$P68,$M$9:$M$56)</f>
        <v>288046.5738562519</v>
      </c>
      <c r="V68" s="228">
        <f>SUMIF($D$9:$D$56,$P68,$N$9:$N$56)</f>
        <v>274979.1018722036</v>
      </c>
    </row>
    <row r="69" spans="16:22" ht="29.25">
      <c r="P69" s="101" t="s">
        <v>54</v>
      </c>
      <c r="Q69" s="102">
        <f>SUMIF($D$9:$D$56,$P69,$K$9:$K$56)/SUMIF($D$9:$D$56,$P69,$J$9:$J$56)</f>
        <v>212.7</v>
      </c>
      <c r="R69" s="229">
        <f>SUMIF($D$9:$D$56,$P69,$K$9:$K$56)</f>
        <v>11240344.2</v>
      </c>
      <c r="S69" s="230">
        <f>SUMIF($D$9:$D$56,$P69,$L$9:$L$56)</f>
        <v>0</v>
      </c>
      <c r="T69" s="105">
        <f>IF(R69=0,"-",S69/R69)</f>
        <v>0</v>
      </c>
      <c r="U69" s="231">
        <f>SUMIF($D$9:$D$56,$P69,$M$9:$M$56)</f>
        <v>0</v>
      </c>
      <c r="V69" s="231">
        <f>SUMIF($D$9:$D$56,$P69,$N$9:$N$56)</f>
        <v>0</v>
      </c>
    </row>
    <row r="70" spans="16:22" ht="16.5">
      <c r="P70" s="113" t="s">
        <v>64</v>
      </c>
      <c r="Q70" s="114">
        <f>SUMIF($D$9:$D$56,$P70,$K$9:$K$56)/SUMIF($D$9:$D$56,$P70,$J$9:$J$56)</f>
        <v>31.2</v>
      </c>
      <c r="R70" s="245">
        <f>SUMIF($D$9:$D$56,$P70,$K$9:$K$56)</f>
        <v>6730588.8</v>
      </c>
      <c r="S70" s="246">
        <f>SUMIF($D$9:$D$56,$P70,$L$9:$L$56)</f>
        <v>0</v>
      </c>
      <c r="T70" s="117">
        <f>IF(R70=0,"-",S70/R70)</f>
        <v>0</v>
      </c>
      <c r="U70" s="247">
        <f>SUMIF($D$9:$D$56,$P70,$M$9:$M$56)</f>
        <v>0</v>
      </c>
      <c r="V70" s="247">
        <f>SUMIF($D$9:$D$56,$P70,$N$9:$N$56)</f>
        <v>0</v>
      </c>
    </row>
    <row r="71" spans="16:22" ht="16.5">
      <c r="P71" s="49" t="s">
        <v>34</v>
      </c>
      <c r="Q71" s="129">
        <f>SUMIF($D$9:$D$56,$P71,$K$9:$K$56)/SUMIF($D$9:$D$56,$P71,$J$9:$J$56)</f>
        <v>1867.9272134203165</v>
      </c>
      <c r="R71" s="232">
        <f>SUMIF($D$9:$D$56,$P71,$K$9:$K$56)</f>
        <v>2004285.8999999997</v>
      </c>
      <c r="S71" s="233">
        <f>SUMIF($D$9:$D$56,$P71,$L$9:$L$56)</f>
        <v>28169.504999999997</v>
      </c>
      <c r="T71" s="132">
        <f>IF(R71=0,"-",S71/R71)</f>
        <v>0.01405463412180867</v>
      </c>
      <c r="U71" s="234">
        <f>SUMIF($D$9:$D$56,$P71,$M$9:$M$56)</f>
        <v>50625.838391389465</v>
      </c>
      <c r="V71" s="234">
        <f>SUMIF($D$9:$D$56,$P71,$N$9:$N$56)</f>
        <v>41037.96694291335</v>
      </c>
    </row>
    <row r="72" spans="16:22" ht="16.5">
      <c r="P72" s="87" t="s">
        <v>48</v>
      </c>
      <c r="Q72" s="143">
        <f>SUMIF($D$9:$D$56,$P72,$K$9:$K$56)/SUMIF($D$9:$D$56,$P72,$J$9:$J$56)</f>
        <v>527.9306900680135</v>
      </c>
      <c r="R72" s="235">
        <f>SUMIF($D$9:$D$56,$P72,$K$9:$K$56)</f>
        <v>20724975.100000005</v>
      </c>
      <c r="S72" s="236">
        <f>SUMIF($D$9:$D$56,$P72,$L$9:$L$56)</f>
        <v>934074.945</v>
      </c>
      <c r="T72" s="146">
        <f>IF(R72=0,"-",S72/R72)</f>
        <v>0.04507001530728014</v>
      </c>
      <c r="U72" s="237">
        <f>SUMIF($D$9:$D$56,$P72,$M$9:$M$56)</f>
        <v>1919780.2600197406</v>
      </c>
      <c r="V72" s="237">
        <f>SUMIF($D$9:$D$56,$P72,$N$9:$N$56)</f>
        <v>1355751.6781428326</v>
      </c>
    </row>
    <row r="73" spans="16:22" ht="16.5">
      <c r="P73" s="57"/>
      <c r="Q73" s="57"/>
      <c r="R73" s="238"/>
      <c r="S73" s="239"/>
      <c r="T73" s="150"/>
      <c r="U73" s="240"/>
      <c r="V73" s="240"/>
    </row>
    <row r="74" spans="16:22" ht="16.5">
      <c r="P74" s="152" t="s">
        <v>80</v>
      </c>
      <c r="Q74" s="152"/>
      <c r="R74" s="241">
        <f>SUM(R65:R72)</f>
        <v>160259807.20000002</v>
      </c>
      <c r="S74" s="242">
        <f>SUM(S65:S72)</f>
        <v>5525818.0649999995</v>
      </c>
      <c r="T74" s="155">
        <f>IF(R74=0,"-",S74/R74)</f>
        <v>0.03448037384759813</v>
      </c>
      <c r="U74" s="243">
        <f>SUM(U65:U72)</f>
        <v>12045218.147154812</v>
      </c>
      <c r="V74" s="243">
        <f>SUM(V65:V72)</f>
        <v>8652358.097700732</v>
      </c>
    </row>
  </sheetData>
  <sheetProtection selectLockedCells="1" selectUnlockedCells="1"/>
  <mergeCells count="12">
    <mergeCell ref="A2:N2"/>
    <mergeCell ref="A3:N3"/>
    <mergeCell ref="P3:V3"/>
    <mergeCell ref="F4:H4"/>
    <mergeCell ref="I4:N4"/>
    <mergeCell ref="M5:N5"/>
    <mergeCell ref="U5:V5"/>
    <mergeCell ref="B6:D6"/>
    <mergeCell ref="E6:H6"/>
    <mergeCell ref="A58:E58"/>
    <mergeCell ref="P59:V59"/>
    <mergeCell ref="U61:V6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60"/>
  <sheetViews>
    <sheetView zoomScale="90" zoomScaleNormal="90" workbookViewId="0" topLeftCell="A52">
      <selection activeCell="A9" sqref="A9:A63"/>
    </sheetView>
  </sheetViews>
  <sheetFormatPr defaultColWidth="11.00390625" defaultRowHeight="12.75"/>
  <cols>
    <col min="1" max="1" width="10.75390625" style="1" customWidth="1"/>
    <col min="2" max="2" width="14.00390625" style="2" customWidth="1"/>
    <col min="3" max="3" width="40.75390625" style="3" customWidth="1"/>
    <col min="4" max="4" width="12.75390625" style="1" customWidth="1"/>
    <col min="5" max="5" width="11.75390625" style="4" customWidth="1"/>
    <col min="6" max="8" width="10.75390625" style="4" customWidth="1"/>
    <col min="9" max="9" width="14.625" style="1" customWidth="1"/>
    <col min="10" max="10" width="14.00390625" style="1" customWidth="1"/>
    <col min="11" max="11" width="16.875" style="5" customWidth="1"/>
    <col min="12" max="12" width="15.75390625" style="6" customWidth="1"/>
    <col min="13" max="14" width="15.75390625" style="7" customWidth="1"/>
    <col min="15" max="15" width="10.75390625" style="1" customWidth="1"/>
    <col min="16" max="16" width="12.375" style="1" customWidth="1"/>
    <col min="17" max="17" width="14.125" style="1" customWidth="1"/>
    <col min="18" max="18" width="24.75390625" style="1" customWidth="1"/>
    <col min="19" max="19" width="21.25390625" style="1" customWidth="1"/>
    <col min="20" max="20" width="14.125" style="1" customWidth="1"/>
    <col min="21" max="22" width="18.75390625" style="1" customWidth="1"/>
    <col min="23" max="245" width="10.75390625" style="1" customWidth="1"/>
    <col min="246" max="16384" width="10.75390625" style="0" customWidth="1"/>
  </cols>
  <sheetData>
    <row r="1" spans="2:14" s="8" customFormat="1" ht="12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36.75" customHeight="1">
      <c r="A2" s="9" t="s">
        <v>267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2" s="11" customFormat="1" ht="60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12" t="s">
        <v>2</v>
      </c>
      <c r="Q3" s="12"/>
      <c r="R3" s="12"/>
      <c r="S3" s="12"/>
      <c r="T3" s="12"/>
      <c r="U3" s="12"/>
      <c r="V3" s="12"/>
    </row>
    <row r="4" spans="6:246" ht="61.5" customHeight="1">
      <c r="F4" s="13" t="s">
        <v>3</v>
      </c>
      <c r="G4" s="13"/>
      <c r="H4" s="13"/>
      <c r="I4" s="14" t="s">
        <v>4</v>
      </c>
      <c r="J4" s="14"/>
      <c r="K4" s="14"/>
      <c r="L4" s="14"/>
      <c r="M4" s="14"/>
      <c r="N4" s="14"/>
      <c r="IL4" s="1"/>
    </row>
    <row r="5" spans="1:246" ht="78.75" customHeight="1">
      <c r="A5" s="15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8" t="s">
        <v>11</v>
      </c>
      <c r="H5" s="17" t="s">
        <v>12</v>
      </c>
      <c r="I5" s="19" t="s">
        <v>13</v>
      </c>
      <c r="J5" s="19" t="s">
        <v>14</v>
      </c>
      <c r="K5" s="20" t="s">
        <v>15</v>
      </c>
      <c r="L5" s="21" t="s">
        <v>16</v>
      </c>
      <c r="M5" s="22" t="s">
        <v>17</v>
      </c>
      <c r="N5" s="22"/>
      <c r="P5" s="16" t="s">
        <v>8</v>
      </c>
      <c r="Q5" s="23" t="s">
        <v>18</v>
      </c>
      <c r="R5" s="20" t="s">
        <v>15</v>
      </c>
      <c r="S5" s="21" t="s">
        <v>16</v>
      </c>
      <c r="T5" s="24" t="s">
        <v>19</v>
      </c>
      <c r="U5" s="22" t="s">
        <v>17</v>
      </c>
      <c r="V5" s="22"/>
      <c r="IL5" s="1"/>
    </row>
    <row r="6" spans="1:246" ht="47.25" customHeight="1">
      <c r="A6" s="25"/>
      <c r="B6" s="26" t="s">
        <v>20</v>
      </c>
      <c r="C6" s="26"/>
      <c r="D6" s="26"/>
      <c r="E6" s="27" t="s">
        <v>21</v>
      </c>
      <c r="F6" s="27"/>
      <c r="G6" s="27"/>
      <c r="H6" s="27"/>
      <c r="I6" s="28" t="s">
        <v>20</v>
      </c>
      <c r="J6" s="28" t="s">
        <v>22</v>
      </c>
      <c r="K6" s="29" t="s">
        <v>23</v>
      </c>
      <c r="L6" s="30" t="s">
        <v>24</v>
      </c>
      <c r="M6" s="31">
        <v>-0.8</v>
      </c>
      <c r="N6" s="31">
        <v>-1.2</v>
      </c>
      <c r="P6" s="32"/>
      <c r="Q6" s="33" t="s">
        <v>25</v>
      </c>
      <c r="R6" s="29" t="s">
        <v>23</v>
      </c>
      <c r="S6" s="30" t="s">
        <v>26</v>
      </c>
      <c r="T6" s="34" t="s">
        <v>27</v>
      </c>
      <c r="U6" s="31">
        <v>-0.8</v>
      </c>
      <c r="V6" s="31">
        <v>-1.2</v>
      </c>
      <c r="IL6" s="1"/>
    </row>
    <row r="7" spans="2:246" ht="27.75" customHeight="1">
      <c r="B7" s="35"/>
      <c r="C7" s="36"/>
      <c r="D7" s="37"/>
      <c r="E7" s="38"/>
      <c r="F7" s="39"/>
      <c r="G7" s="39"/>
      <c r="H7" s="39"/>
      <c r="I7" s="19" t="s">
        <v>28</v>
      </c>
      <c r="J7" s="19" t="s">
        <v>29</v>
      </c>
      <c r="K7" s="40" t="s">
        <v>30</v>
      </c>
      <c r="L7" s="41" t="s">
        <v>30</v>
      </c>
      <c r="M7" s="42" t="s">
        <v>30</v>
      </c>
      <c r="N7" s="42" t="s">
        <v>30</v>
      </c>
      <c r="P7" s="43"/>
      <c r="Q7" s="19"/>
      <c r="R7" s="40"/>
      <c r="S7" s="41"/>
      <c r="T7" s="44"/>
      <c r="U7" s="42"/>
      <c r="V7" s="42"/>
      <c r="IL7" s="1"/>
    </row>
    <row r="8" spans="2:246" ht="16.5">
      <c r="B8" s="35"/>
      <c r="C8" s="36"/>
      <c r="D8" s="37"/>
      <c r="E8" s="38"/>
      <c r="F8" s="39"/>
      <c r="G8" s="39"/>
      <c r="H8" s="39"/>
      <c r="I8" s="19"/>
      <c r="J8" s="19"/>
      <c r="K8" s="40"/>
      <c r="L8" s="41"/>
      <c r="M8" s="42"/>
      <c r="N8" s="42"/>
      <c r="P8" s="43"/>
      <c r="Q8" s="43"/>
      <c r="R8" s="40"/>
      <c r="S8" s="45"/>
      <c r="T8" s="44"/>
      <c r="U8" s="46"/>
      <c r="V8" s="46"/>
      <c r="IL8" s="1"/>
    </row>
    <row r="9" spans="1:22" ht="29.25">
      <c r="A9" s="47" t="s">
        <v>31</v>
      </c>
      <c r="B9" s="47" t="s">
        <v>32</v>
      </c>
      <c r="C9" s="48" t="s">
        <v>33</v>
      </c>
      <c r="D9" s="49" t="s">
        <v>34</v>
      </c>
      <c r="E9" s="50" t="s">
        <v>35</v>
      </c>
      <c r="F9" s="51">
        <v>0.4</v>
      </c>
      <c r="G9" s="51">
        <v>0.9</v>
      </c>
      <c r="H9" s="51">
        <v>0.65</v>
      </c>
      <c r="I9" s="52">
        <v>687.9</v>
      </c>
      <c r="J9" s="53">
        <v>1597</v>
      </c>
      <c r="K9" s="54">
        <f>IF(J9="-",0,I9*J9)</f>
        <v>1098576.3</v>
      </c>
      <c r="L9" s="55">
        <f>IF(H9="-","-",$K9*H9)</f>
        <v>714074.5950000001</v>
      </c>
      <c r="M9" s="56">
        <f>IF($H9="-","-",(($K9/(-0.8+1)*((1/(1-$H9))^(-0.8+1)-1))))</f>
        <v>1283324.8239849047</v>
      </c>
      <c r="N9" s="56">
        <f>IF($H9="-","-",(($K9/(-1.2+1)*((1/(1-$H9))^(-1.2+1)-1))))</f>
        <v>1040279.8921878197</v>
      </c>
      <c r="O9" s="57"/>
      <c r="P9" s="58" t="s">
        <v>36</v>
      </c>
      <c r="Q9" s="59">
        <f>SUMIF($D$9:$D$58,$P9,$K$9:$K$58)/SUMIF($D$9:$D$58,$P9,$J$9:$J$58)</f>
        <v>213.1876842067709</v>
      </c>
      <c r="R9" s="217">
        <f>SUMIF($D$9:$D$58,$P9,$K$9:$K$58)</f>
        <v>191219546.1</v>
      </c>
      <c r="S9" s="218">
        <f>SUMIF($D$9:$D$58,$P9,$L$9:$L$58)</f>
        <v>0</v>
      </c>
      <c r="T9" s="62">
        <f>IF(R9=0,"-",S9/R9)</f>
        <v>0</v>
      </c>
      <c r="U9" s="219">
        <f>SUMIF($D$9:$D$58,$P9,$M$9:$M$58)</f>
        <v>0</v>
      </c>
      <c r="V9" s="219">
        <f>SUMIF($D$9:$D$58,$P9,$N$9:$N$58)</f>
        <v>0</v>
      </c>
    </row>
    <row r="10" spans="1:22" ht="16.5">
      <c r="A10" s="64" t="s">
        <v>37</v>
      </c>
      <c r="B10" s="64" t="s">
        <v>38</v>
      </c>
      <c r="C10" s="65" t="s">
        <v>39</v>
      </c>
      <c r="D10" s="66" t="s">
        <v>40</v>
      </c>
      <c r="E10" s="67" t="s">
        <v>35</v>
      </c>
      <c r="F10" s="68">
        <v>0.4</v>
      </c>
      <c r="G10" s="68">
        <v>0.9</v>
      </c>
      <c r="H10" s="68">
        <v>0.65</v>
      </c>
      <c r="I10" s="69">
        <v>342.2</v>
      </c>
      <c r="J10" s="70">
        <v>14639</v>
      </c>
      <c r="K10" s="71">
        <f>IF(J10="-",0,I10*J10)</f>
        <v>5009465.8</v>
      </c>
      <c r="L10" s="72">
        <f>IF(H10="-","-",K10*H10)</f>
        <v>3256152.77</v>
      </c>
      <c r="M10" s="73">
        <f>IF($H10="-","-",(($K10/(-0.8+1)*((1/(1-$H10))^(-0.8+1)-1))))</f>
        <v>5851911.984669065</v>
      </c>
      <c r="N10" s="73">
        <f>IF($H10="-","-",(($K10/(-1.2+1)*((1/(1-$H10))^(-1.2+1)-1))))</f>
        <v>4743636.415916281</v>
      </c>
      <c r="O10" s="57"/>
      <c r="P10" s="66" t="s">
        <v>40</v>
      </c>
      <c r="Q10" s="74">
        <f>SUMIF($D$9:$D$58,$P10,$K$9:$K$58)/SUMIF($D$9:$D$58,$P10,$J$9:$J$58)</f>
        <v>558.8140549117661</v>
      </c>
      <c r="R10" s="220">
        <f>SUMIF($D$9:$D$58,$P10,$K$9:$K$58)</f>
        <v>92973247.2</v>
      </c>
      <c r="S10" s="221">
        <f>SUMIF($D$9:$D$58,$P10,$L$9:$L$58)</f>
        <v>16264015.270000001</v>
      </c>
      <c r="T10" s="77">
        <f>IF(R10=0,"-",S10/R10)</f>
        <v>0.17493220641216886</v>
      </c>
      <c r="U10" s="222">
        <f>SUMIF($D$9:$D$58,$P10,$M$9:$M$58)</f>
        <v>29770977.0852872</v>
      </c>
      <c r="V10" s="222">
        <f>SUMIF($D$9:$D$58,$P10,$N$9:$N$58)</f>
        <v>23889144.870490514</v>
      </c>
    </row>
    <row r="11" spans="1:22" ht="29.25">
      <c r="A11" s="64" t="s">
        <v>41</v>
      </c>
      <c r="B11" s="64" t="s">
        <v>42</v>
      </c>
      <c r="C11" s="65" t="s">
        <v>43</v>
      </c>
      <c r="D11" s="66" t="s">
        <v>40</v>
      </c>
      <c r="E11" s="67" t="s">
        <v>35</v>
      </c>
      <c r="F11" s="68">
        <v>0.4</v>
      </c>
      <c r="G11" s="68">
        <v>0.9</v>
      </c>
      <c r="H11" s="68">
        <v>0.65</v>
      </c>
      <c r="I11" s="69">
        <v>745.8</v>
      </c>
      <c r="J11" s="70">
        <v>124</v>
      </c>
      <c r="K11" s="71">
        <f>IF(J11="-",0,I11*J11)</f>
        <v>92479.2</v>
      </c>
      <c r="L11" s="72">
        <f>IF(H11="-","-",K11*H11)</f>
        <v>60111.48</v>
      </c>
      <c r="M11" s="73">
        <f>IF($H11="-","-",(($K11/(-0.8+1)*((1/(1-$H11))^(-0.8+1)-1))))</f>
        <v>108031.50683504165</v>
      </c>
      <c r="N11" s="73">
        <f>IF($H11="-","-",(($K11/(-1.2+1)*((1/(1-$H11))^(-1.2+1)-1))))</f>
        <v>87571.75282737831</v>
      </c>
      <c r="O11" s="57"/>
      <c r="P11" s="79" t="s">
        <v>44</v>
      </c>
      <c r="Q11" s="80">
        <f>SUMIF($D$9:$D$58,$P11,$K$9:$K$58)/SUMIF($D$9:$D$58,$P11,$J$9:$J$58)</f>
        <v>375.4335556273686</v>
      </c>
      <c r="R11" s="223">
        <f>SUMIF($D$9:$D$58,$P11,$K$9:$K$58)</f>
        <v>12779382.8</v>
      </c>
      <c r="S11" s="224">
        <f>SUMIF($D$9:$D$58,$P11,$L$9:$L$58)</f>
        <v>1462397.75</v>
      </c>
      <c r="T11" s="83">
        <f>IF(R11=0,"-",S11/R11)</f>
        <v>0.11443414544245438</v>
      </c>
      <c r="U11" s="225">
        <f>SUMIF($D$9:$D$58,$P11,$M$9:$M$58)</f>
        <v>1732176.2379228116</v>
      </c>
      <c r="V11" s="225">
        <f>SUMIF($D$9:$D$58,$P11,$N$9:$N$58)</f>
        <v>1635325.9535847155</v>
      </c>
    </row>
    <row r="12" spans="1:22" ht="42.75">
      <c r="A12" s="85" t="s">
        <v>45</v>
      </c>
      <c r="B12" s="85" t="s">
        <v>46</v>
      </c>
      <c r="C12" s="86" t="s">
        <v>47</v>
      </c>
      <c r="D12" s="87" t="s">
        <v>48</v>
      </c>
      <c r="E12" s="88" t="s">
        <v>49</v>
      </c>
      <c r="F12" s="89" t="str">
        <f>IF(E12="No aumenta",0,IF(E12="Pequeña",0,IF(E12="Moderada",0.1,IF(E12="Grande",0.4,IF(E12="Esencial",0.9,"-")))))</f>
        <v>-</v>
      </c>
      <c r="G12" s="89" t="str">
        <f>IF(E12="No aumenta",0,IF(E12="Pequeña",0.1,IF(E12="Moderada",0.4,IF(E12="Grande",0.9,IF(E12="Esencial",1,"-")))))</f>
        <v>-</v>
      </c>
      <c r="H12" s="89" t="str">
        <f>IF(F12="-","-",AVERAGE(F12:G12))</f>
        <v>-</v>
      </c>
      <c r="I12" s="90">
        <v>661.2</v>
      </c>
      <c r="J12" s="91">
        <v>11053</v>
      </c>
      <c r="K12" s="92">
        <f>IF(J12="-",0,I12*J12)</f>
        <v>7308243.600000001</v>
      </c>
      <c r="L12" s="93" t="str">
        <f>IF(H12="-","-",K12*H12)</f>
        <v>-</v>
      </c>
      <c r="M12" s="94" t="str">
        <f>IF($H12="-","-",(($K12/(-0.8+1)*((1/(1-$H12))^(-0.8+1)-1))))</f>
        <v>-</v>
      </c>
      <c r="N12" s="94" t="str">
        <f>IF($H12="-","-",(($K12/(-1.2+1)*((1/(1-$H12))^(-1.2+1)-1))))</f>
        <v>-</v>
      </c>
      <c r="O12" s="57"/>
      <c r="P12" s="95" t="s">
        <v>50</v>
      </c>
      <c r="Q12" s="96">
        <f>SUMIF($D$9:$D$58,$P12,$K$9:$K$58)/SUMIF($D$9:$D$58,$P12,$J$9:$J$58)</f>
        <v>375.966737653382</v>
      </c>
      <c r="R12" s="226">
        <f>SUMIF($D$9:$D$58,$P12,$K$9:$K$58)</f>
        <v>3707408</v>
      </c>
      <c r="S12" s="227">
        <f>SUMIF($D$9:$D$58,$P12,$L$9:$L$58)</f>
        <v>307477.005</v>
      </c>
      <c r="T12" s="99">
        <f>IF(R12=0,"-",S12/R12)</f>
        <v>0.08293584223802722</v>
      </c>
      <c r="U12" s="228">
        <f>SUMIF($D$9:$D$58,$P12,$M$9:$M$58)</f>
        <v>352507.2181831372</v>
      </c>
      <c r="V12" s="228">
        <f>SUMIF($D$9:$D$58,$P12,$N$9:$N$58)</f>
        <v>336391.5233710518</v>
      </c>
    </row>
    <row r="13" spans="1:22" ht="42.75">
      <c r="A13" s="85" t="s">
        <v>51</v>
      </c>
      <c r="B13" s="85" t="s">
        <v>52</v>
      </c>
      <c r="C13" s="86" t="s">
        <v>53</v>
      </c>
      <c r="D13" s="87" t="s">
        <v>48</v>
      </c>
      <c r="E13" s="88" t="s">
        <v>49</v>
      </c>
      <c r="F13" s="89" t="str">
        <f>IF(E13="No aumenta",0,IF(E13="Pequeña",0,IF(E13="Moderada",0.1,IF(E13="Grande",0.4,IF(E13="Esencial",0.9,"-")))))</f>
        <v>-</v>
      </c>
      <c r="G13" s="89" t="str">
        <f>IF(E13="No aumenta",0,IF(E13="Pequeña",0.1,IF(E13="Moderada",0.4,IF(E13="Grande",0.9,IF(E13="Esencial",1,"-")))))</f>
        <v>-</v>
      </c>
      <c r="H13" s="89" t="str">
        <f>IF(F13="-","-",AVERAGE(F13:G13))</f>
        <v>-</v>
      </c>
      <c r="I13" s="90">
        <v>1257.3</v>
      </c>
      <c r="J13" s="91">
        <v>4870</v>
      </c>
      <c r="K13" s="92">
        <f>IF(J13="-",0,I13*J13)</f>
        <v>6123051</v>
      </c>
      <c r="L13" s="93" t="str">
        <f>IF(H13="-","-",K13*H13)</f>
        <v>-</v>
      </c>
      <c r="M13" s="94" t="str">
        <f>IF($H13="-","-",(($K13/(-0.8+1)*((1/(1-$H13))^(-0.8+1)-1))))</f>
        <v>-</v>
      </c>
      <c r="N13" s="94" t="str">
        <f>IF($H13="-","-",(($K13/(-1.2+1)*((1/(1-$H13))^(-1.2+1)-1))))</f>
        <v>-</v>
      </c>
      <c r="O13" s="57"/>
      <c r="P13" s="101" t="s">
        <v>54</v>
      </c>
      <c r="Q13" s="102">
        <f>SUMIF($D$9:$D$58,$P13,$K$9:$K$58)/SUMIF($D$9:$D$58,$P13,$J$9:$J$58)</f>
        <v>212.7</v>
      </c>
      <c r="R13" s="229">
        <f>SUMIF($D$9:$D$58,$P13,$K$9:$K$58)</f>
        <v>3181992</v>
      </c>
      <c r="S13" s="230">
        <f>SUMIF($D$9:$D$58,$P13,$L$9:$L$58)</f>
        <v>0</v>
      </c>
      <c r="T13" s="105">
        <f>IF(R13=0,"-",S13/R13)</f>
        <v>0</v>
      </c>
      <c r="U13" s="231">
        <f>SUMIF($D$9:$D$58,$P13,$M$9:$M$58)</f>
        <v>0</v>
      </c>
      <c r="V13" s="231">
        <f>SUMIF($D$9:$D$58,$P13,$N$9:$N$58)</f>
        <v>0</v>
      </c>
    </row>
    <row r="14" spans="1:22" ht="16.5">
      <c r="A14" s="119" t="s">
        <v>65</v>
      </c>
      <c r="B14" s="119" t="s">
        <v>66</v>
      </c>
      <c r="C14" s="120" t="s">
        <v>67</v>
      </c>
      <c r="D14" s="121" t="s">
        <v>36</v>
      </c>
      <c r="E14" s="122" t="s">
        <v>68</v>
      </c>
      <c r="F14" s="123">
        <v>0</v>
      </c>
      <c r="G14" s="123">
        <v>0</v>
      </c>
      <c r="H14" s="123">
        <v>0</v>
      </c>
      <c r="I14" s="124">
        <v>194.8</v>
      </c>
      <c r="J14" s="125">
        <v>327248</v>
      </c>
      <c r="K14" s="126">
        <f>IF(J14="-",0,I14*J14)</f>
        <v>63747910.400000006</v>
      </c>
      <c r="L14" s="127">
        <f>IF(H14="-","-",K14*H14)</f>
        <v>0</v>
      </c>
      <c r="M14" s="128">
        <f>IF($H14="-","-",(($K14/(-0.8+1)*((1/(1-$H14))^(-0.8+1)-1))))</f>
        <v>0</v>
      </c>
      <c r="N14" s="128">
        <f>IF($H14="-","-",(($K14/(-1.2+1)*((1/(1-$H14))^(-1.2+1)-1))))</f>
        <v>0</v>
      </c>
      <c r="O14" s="57"/>
      <c r="P14" s="113" t="s">
        <v>64</v>
      </c>
      <c r="Q14" s="114">
        <f>SUMIF($D$9:$D$58,$P14,$K$9:$K$58)/SUMIF($D$9:$D$58,$P14,$J$9:$J$58)</f>
        <v>31.2</v>
      </c>
      <c r="R14" s="245">
        <f>SUMIF($D$9:$D$58,$P14,$K$9:$K$58)</f>
        <v>170414.4</v>
      </c>
      <c r="S14" s="246">
        <f>SUMIF($D$9:$D$58,$P14,$L$9:$L$58)</f>
        <v>0</v>
      </c>
      <c r="T14" s="117">
        <f>IF(R14=0,"-",S14/R14)</f>
        <v>0</v>
      </c>
      <c r="U14" s="247">
        <f>SUMIF($D$9:$D$58,$P14,$M$9:$M$58)</f>
        <v>0</v>
      </c>
      <c r="V14" s="247">
        <f>SUMIF($D$9:$D$58,$P14,$N$9:$N$58)</f>
        <v>0</v>
      </c>
    </row>
    <row r="15" spans="1:22" ht="42.75">
      <c r="A15" s="134" t="s">
        <v>69</v>
      </c>
      <c r="B15" s="134" t="s">
        <v>70</v>
      </c>
      <c r="C15" s="135" t="s">
        <v>71</v>
      </c>
      <c r="D15" s="95" t="s">
        <v>50</v>
      </c>
      <c r="E15" s="136" t="s">
        <v>72</v>
      </c>
      <c r="F15" s="137">
        <v>0</v>
      </c>
      <c r="G15" s="137">
        <v>0.1</v>
      </c>
      <c r="H15" s="137">
        <v>0.05</v>
      </c>
      <c r="I15" s="138">
        <v>1857.6</v>
      </c>
      <c r="J15" s="139">
        <v>821</v>
      </c>
      <c r="K15" s="140">
        <f>IF(J15="-",0,I15*J15)</f>
        <v>1525089.5999999999</v>
      </c>
      <c r="L15" s="141">
        <f>IF(H15="-","-",K15*H15)</f>
        <v>76254.48</v>
      </c>
      <c r="M15" s="142">
        <f>IF($H15="-","-",(($K15/(-0.8+1)*((1/(1-$H15))^(-0.8+1)-1))))</f>
        <v>78629.49683303712</v>
      </c>
      <c r="N15" s="142">
        <f>IF($H15="-","-",(($K15/(-1.2+1)*((1/(1-$H15))^(-1.2+1)-1))))</f>
        <v>77826.98702251689</v>
      </c>
      <c r="O15" s="57"/>
      <c r="P15" s="49" t="s">
        <v>34</v>
      </c>
      <c r="Q15" s="129">
        <f>SUMIF($D$9:$D$58,$P15,$K$9:$K$58)/SUMIF($D$9:$D$58,$P15,$J$9:$J$58)</f>
        <v>870.9189027702336</v>
      </c>
      <c r="R15" s="232">
        <f>SUMIF($D$9:$D$58,$P15,$K$9:$K$58)</f>
        <v>1603361.7</v>
      </c>
      <c r="S15" s="233">
        <f>SUMIF($D$9:$D$58,$P15,$L$9:$L$58)</f>
        <v>714074.5950000001</v>
      </c>
      <c r="T15" s="132">
        <f>IF(R15=0,"-",S15/R15)</f>
        <v>0.44536089080835606</v>
      </c>
      <c r="U15" s="234">
        <f>SUMIF($D$9:$D$58,$P15,$M$9:$M$58)</f>
        <v>1283324.8239849047</v>
      </c>
      <c r="V15" s="234">
        <f>SUMIF($D$9:$D$58,$P15,$N$9:$N$58)</f>
        <v>1040279.8921878197</v>
      </c>
    </row>
    <row r="16" spans="1:22" ht="29.25">
      <c r="A16" s="85" t="s">
        <v>73</v>
      </c>
      <c r="B16" s="85" t="s">
        <v>74</v>
      </c>
      <c r="C16" s="86" t="s">
        <v>75</v>
      </c>
      <c r="D16" s="87" t="s">
        <v>48</v>
      </c>
      <c r="E16" s="88" t="s">
        <v>72</v>
      </c>
      <c r="F16" s="89">
        <v>0</v>
      </c>
      <c r="G16" s="89">
        <v>0.1</v>
      </c>
      <c r="H16" s="89">
        <v>0.05</v>
      </c>
      <c r="I16" s="90">
        <v>1536</v>
      </c>
      <c r="J16" s="91">
        <v>7224</v>
      </c>
      <c r="K16" s="92">
        <f>IF(J16="-",0,I16*J16)</f>
        <v>11096064</v>
      </c>
      <c r="L16" s="93">
        <f>IF(H16="-","-",K16*H16)</f>
        <v>554803.2000000001</v>
      </c>
      <c r="M16" s="94">
        <f>IF($H16="-","-",(($K16/(-0.8+1)*((1/(1-$H16))^(-0.8+1)-1))))</f>
        <v>572083.0626260762</v>
      </c>
      <c r="N16" s="94">
        <f>IF($H16="-","-",(($K16/(-1.2+1)*((1/(1-$H16))^(-1.2+1)-1))))</f>
        <v>566244.2579957381</v>
      </c>
      <c r="O16" s="57"/>
      <c r="P16" s="87" t="s">
        <v>48</v>
      </c>
      <c r="Q16" s="143">
        <f>SUMIF($D$9:$D$58,$P16,$K$9:$K$58)/SUMIF($D$9:$D$58,$P16,$J$9:$J$58)</f>
        <v>501.1825393546255</v>
      </c>
      <c r="R16" s="235">
        <f>SUMIF($D$9:$D$58,$P16,$K$9:$K$58)</f>
        <v>181951815</v>
      </c>
      <c r="S16" s="236">
        <f>SUMIF($D$9:$D$58,$P16,$L$9:$L$58)</f>
        <v>7637806.0200000005</v>
      </c>
      <c r="T16" s="146">
        <f>IF(R16=0,"-",S16/R16)</f>
        <v>0.04197708069029155</v>
      </c>
      <c r="U16" s="237">
        <f>SUMIF($D$9:$D$58,$P16,$M$9:$M$58)</f>
        <v>14423803.36917076</v>
      </c>
      <c r="V16" s="237">
        <f>SUMIF($D$9:$D$58,$P16,$N$9:$N$58)</f>
        <v>10545144.5308088</v>
      </c>
    </row>
    <row r="17" spans="1:22" ht="42.75">
      <c r="A17" s="134" t="s">
        <v>254</v>
      </c>
      <c r="B17" s="134" t="s">
        <v>77</v>
      </c>
      <c r="C17" s="135" t="s">
        <v>78</v>
      </c>
      <c r="D17" s="95" t="s">
        <v>50</v>
      </c>
      <c r="E17" s="136" t="s">
        <v>79</v>
      </c>
      <c r="F17" s="137">
        <v>0.1</v>
      </c>
      <c r="G17" s="137">
        <v>0.4</v>
      </c>
      <c r="H17" s="137">
        <v>0.25</v>
      </c>
      <c r="I17" s="138">
        <v>256.7</v>
      </c>
      <c r="J17" s="139">
        <v>3603</v>
      </c>
      <c r="K17" s="140">
        <f>IF(J17="-",0,I17*J17)</f>
        <v>924890.1</v>
      </c>
      <c r="L17" s="141">
        <f>IF(H17="-","-",K17*H17)</f>
        <v>231222.525</v>
      </c>
      <c r="M17" s="142">
        <f>IF($H17="-","-",(($K17/(-0.8+1)*((1/(1-$H17))^(-0.8+1)-1))))</f>
        <v>273877.72135010007</v>
      </c>
      <c r="N17" s="142">
        <f>IF($H17="-","-",(($K17/(-1.2+1)*((1/(1-$H17))^(-1.2+1)-1))))</f>
        <v>258564.53634853492</v>
      </c>
      <c r="O17" s="57"/>
      <c r="P17" s="57"/>
      <c r="Q17" s="57"/>
      <c r="R17" s="238"/>
      <c r="S17" s="239"/>
      <c r="T17" s="150"/>
      <c r="U17" s="240"/>
      <c r="V17" s="240"/>
    </row>
    <row r="18" spans="1:22" ht="42.75">
      <c r="A18" s="85" t="s">
        <v>81</v>
      </c>
      <c r="B18" s="85" t="s">
        <v>82</v>
      </c>
      <c r="C18" s="86" t="s">
        <v>83</v>
      </c>
      <c r="D18" s="87" t="s">
        <v>48</v>
      </c>
      <c r="E18" s="88" t="s">
        <v>49</v>
      </c>
      <c r="F18" s="89" t="str">
        <f>IF(E18="No aumenta",0,IF(E18="Pequeña",0,IF(E18="Moderada",0.1,IF(E18="Grande",0.4,IF(E18="Esencial",0.9,"-")))))</f>
        <v>-</v>
      </c>
      <c r="G18" s="89" t="str">
        <f>IF(E18="No aumenta",0,IF(E18="Pequeña",0.1,IF(E18="Moderada",0.4,IF(E18="Grande",0.9,IF(E18="Esencial",1,"-")))))</f>
        <v>-</v>
      </c>
      <c r="H18" s="89" t="str">
        <f>IF(F18="-","-",AVERAGE(F18:G18))</f>
        <v>-</v>
      </c>
      <c r="I18" s="90">
        <v>247</v>
      </c>
      <c r="J18" s="91">
        <v>3350</v>
      </c>
      <c r="K18" s="92">
        <f>IF(J18="-",0,I18*J18)</f>
        <v>827450</v>
      </c>
      <c r="L18" s="93" t="str">
        <f>IF(H18="-","-",K18*H18)</f>
        <v>-</v>
      </c>
      <c r="M18" s="94" t="str">
        <f>IF($H18="-","-",(($K18/(-0.8+1)*((1/(1-$H18))^(-0.8+1)-1))))</f>
        <v>-</v>
      </c>
      <c r="N18" s="94" t="str">
        <f>IF($H18="-","-",(($K18/(-1.2+1)*((1/(1-$H18))^(-1.2+1)-1))))</f>
        <v>-</v>
      </c>
      <c r="O18" s="57"/>
      <c r="P18" s="152" t="s">
        <v>80</v>
      </c>
      <c r="Q18" s="152"/>
      <c r="R18" s="241">
        <f>SUM(R9:R16)</f>
        <v>487587167.20000005</v>
      </c>
      <c r="S18" s="242">
        <f>SUM(S9:S16)</f>
        <v>26385770.64</v>
      </c>
      <c r="T18" s="155">
        <f>IF(R18=0,"-",S18/R18)</f>
        <v>0.05411498172013416</v>
      </c>
      <c r="U18" s="243">
        <f>SUM(U9:U16)</f>
        <v>47562788.734548815</v>
      </c>
      <c r="V18" s="243">
        <f>SUM(V9:V16)</f>
        <v>37446286.7704429</v>
      </c>
    </row>
    <row r="19" spans="1:15" ht="42.75">
      <c r="A19" s="85" t="s">
        <v>84</v>
      </c>
      <c r="B19" s="85" t="s">
        <v>85</v>
      </c>
      <c r="C19" s="86" t="s">
        <v>86</v>
      </c>
      <c r="D19" s="87" t="s">
        <v>48</v>
      </c>
      <c r="E19" s="88" t="s">
        <v>49</v>
      </c>
      <c r="F19" s="89" t="str">
        <f>IF(E19="No aumenta",0,IF(E19="Pequeña",0,IF(E19="Moderada",0.1,IF(E19="Grande",0.4,IF(E19="Esencial",0.9,"-")))))</f>
        <v>-</v>
      </c>
      <c r="G19" s="89" t="str">
        <f>IF(E19="No aumenta",0,IF(E19="Pequeña",0.1,IF(E19="Moderada",0.4,IF(E19="Grande",0.9,IF(E19="Esencial",1,"-")))))</f>
        <v>-</v>
      </c>
      <c r="H19" s="89" t="str">
        <f>IF(F19="-","-",AVERAGE(F19:G19))</f>
        <v>-</v>
      </c>
      <c r="I19" s="90">
        <v>283.4</v>
      </c>
      <c r="J19" s="91">
        <v>635</v>
      </c>
      <c r="K19" s="92">
        <f>IF(J19="-",0,I19*J19)</f>
        <v>179959</v>
      </c>
      <c r="L19" s="93" t="str">
        <f>IF(H19="-","-",K19*H19)</f>
        <v>-</v>
      </c>
      <c r="M19" s="94" t="str">
        <f>IF($H19="-","-",(($K19/(-0.8+1)*((1/(1-$H19))^(-0.8+1)-1))))</f>
        <v>-</v>
      </c>
      <c r="N19" s="94" t="str">
        <f>IF($H19="-","-",(($K19/(-1.2+1)*((1/(1-$H19))^(-1.2+1)-1))))</f>
        <v>-</v>
      </c>
      <c r="O19" s="57"/>
    </row>
    <row r="20" spans="1:15" ht="42.75">
      <c r="A20" s="85" t="s">
        <v>250</v>
      </c>
      <c r="B20" s="85" t="s">
        <v>88</v>
      </c>
      <c r="C20" s="86" t="s">
        <v>83</v>
      </c>
      <c r="D20" s="87" t="s">
        <v>48</v>
      </c>
      <c r="E20" s="88" t="s">
        <v>49</v>
      </c>
      <c r="F20" s="89" t="str">
        <f>IF(E20="No aumenta",0,IF(E20="Pequeña",0,IF(E20="Moderada",0.1,IF(E20="Grande",0.4,IF(E20="Esencial",0.9,"-")))))</f>
        <v>-</v>
      </c>
      <c r="G20" s="89" t="str">
        <f>IF(E20="No aumenta",0,IF(E20="Pequeña",0.1,IF(E20="Moderada",0.4,IF(E20="Grande",0.9,IF(E20="Esencial",1,"-")))))</f>
        <v>-</v>
      </c>
      <c r="H20" s="89" t="str">
        <f>IF(F20="-","-",AVERAGE(F20:G20))</f>
        <v>-</v>
      </c>
      <c r="I20" s="90">
        <v>325.3</v>
      </c>
      <c r="J20" s="91">
        <f>21790+59513</f>
        <v>81303</v>
      </c>
      <c r="K20" s="92">
        <f>IF(J20="-",0,I20*J20)</f>
        <v>26447865.900000002</v>
      </c>
      <c r="L20" s="93" t="str">
        <f>IF(H20="-","-",K20*H20)</f>
        <v>-</v>
      </c>
      <c r="M20" s="94" t="str">
        <f>IF($H20="-","-",(($K20/(-0.8+1)*((1/(1-$H20))^(-0.8+1)-1))))</f>
        <v>-</v>
      </c>
      <c r="N20" s="94" t="str">
        <f>IF($H20="-","-",(($K20/(-1.2+1)*((1/(1-$H20))^(-1.2+1)-1))))</f>
        <v>-</v>
      </c>
      <c r="O20" s="57"/>
    </row>
    <row r="21" spans="1:15" ht="29.25">
      <c r="A21" s="64" t="s">
        <v>246</v>
      </c>
      <c r="B21" s="64" t="s">
        <v>90</v>
      </c>
      <c r="C21" s="65" t="s">
        <v>91</v>
      </c>
      <c r="D21" s="66" t="s">
        <v>40</v>
      </c>
      <c r="E21" s="67" t="s">
        <v>35</v>
      </c>
      <c r="F21" s="68">
        <f>IF(E21="No aumenta",0,IF(E21="Pequeña",0,IF(E21="Moderada",0.1,IF(E21="Grande",0.4,IF(E21="Esencial",0.9,"-")))))</f>
        <v>0.4</v>
      </c>
      <c r="G21" s="68">
        <f>IF(E21="No aumenta",0,IF(E21="Pequeña",0.1,IF(E21="Moderada",0.4,IF(E21="Grande",0.9,IF(E21="Esencial",1,"-")))))</f>
        <v>0.9</v>
      </c>
      <c r="H21" s="68">
        <f>IF(F21="-","-",AVERAGE(F21:G21))</f>
        <v>0.65</v>
      </c>
      <c r="I21" s="69">
        <v>1344.2</v>
      </c>
      <c r="J21" s="70">
        <v>1224</v>
      </c>
      <c r="K21" s="71">
        <f>IF(J21="-",0,I21*J21)</f>
        <v>1645300.8</v>
      </c>
      <c r="L21" s="72">
        <f>IF(H21="-","-",K21*H21)</f>
        <v>1069445.52</v>
      </c>
      <c r="M21" s="73">
        <f>IF($H21="-","-",(($K21/(-0.8+1)*((1/(1-$H21))^(-0.8+1)-1))))</f>
        <v>1921992.4547454943</v>
      </c>
      <c r="N21" s="73">
        <f>IF($H21="-","-",(($K21/(-1.2+1)*((1/(1-$H21))^(-1.2+1)-1))))</f>
        <v>1557992.2294341624</v>
      </c>
      <c r="O21" s="57"/>
    </row>
    <row r="22" spans="1:15" ht="16.5">
      <c r="A22" s="134" t="s">
        <v>95</v>
      </c>
      <c r="B22" s="134" t="s">
        <v>96</v>
      </c>
      <c r="C22" s="135" t="s">
        <v>97</v>
      </c>
      <c r="D22" s="95" t="s">
        <v>50</v>
      </c>
      <c r="E22" s="136" t="s">
        <v>68</v>
      </c>
      <c r="F22" s="137">
        <v>0</v>
      </c>
      <c r="G22" s="137">
        <v>0</v>
      </c>
      <c r="H22" s="137">
        <v>0</v>
      </c>
      <c r="I22" s="138">
        <v>652.7</v>
      </c>
      <c r="J22" s="139">
        <v>37</v>
      </c>
      <c r="K22" s="140">
        <f>IF(J22="-",0,I22*J22)</f>
        <v>24149.9</v>
      </c>
      <c r="L22" s="141">
        <f>IF(H22="-","-",K22*H22)</f>
        <v>0</v>
      </c>
      <c r="M22" s="142">
        <f>IF($H22="-","-",(($K22/(-0.8+1)*((1/(1-$H22))^(-0.8+1)-1))))</f>
        <v>0</v>
      </c>
      <c r="N22" s="142">
        <f>IF($H22="-","-",(($K22/(-1.2+1)*((1/(1-$H22))^(-1.2+1)-1))))</f>
        <v>0</v>
      </c>
      <c r="O22" s="57"/>
    </row>
    <row r="23" spans="1:15" ht="29.25">
      <c r="A23" s="85" t="s">
        <v>101</v>
      </c>
      <c r="B23" s="85" t="s">
        <v>102</v>
      </c>
      <c r="C23" s="86" t="s">
        <v>100</v>
      </c>
      <c r="D23" s="87" t="s">
        <v>48</v>
      </c>
      <c r="E23" s="88" t="s">
        <v>72</v>
      </c>
      <c r="F23" s="89">
        <v>0</v>
      </c>
      <c r="G23" s="89">
        <v>0.1</v>
      </c>
      <c r="H23" s="89">
        <v>0.05</v>
      </c>
      <c r="I23" s="90">
        <v>708.5</v>
      </c>
      <c r="J23" s="91">
        <f>19876+1154</f>
        <v>21030</v>
      </c>
      <c r="K23" s="92">
        <f>IF(J23="-",0,I23*J23)</f>
        <v>14899755</v>
      </c>
      <c r="L23" s="93">
        <f>IF(H23="-","-",K23*H23)</f>
        <v>744987.75</v>
      </c>
      <c r="M23" s="94">
        <f>IF($H23="-","-",(($K23/(-0.8+1)*((1/(1-$H23))^(-0.8+1)-1))))</f>
        <v>768191.0876485744</v>
      </c>
      <c r="N23" s="94">
        <f>IF($H23="-","-",(($K23/(-1.2+1)*((1/(1-$H23))^(-1.2+1)-1))))</f>
        <v>760350.7617019231</v>
      </c>
      <c r="O23" s="57"/>
    </row>
    <row r="24" spans="1:15" ht="29.25">
      <c r="A24" s="85" t="s">
        <v>103</v>
      </c>
      <c r="B24" s="85" t="s">
        <v>104</v>
      </c>
      <c r="C24" s="86" t="s">
        <v>105</v>
      </c>
      <c r="D24" s="87" t="s">
        <v>48</v>
      </c>
      <c r="E24" s="88" t="s">
        <v>35</v>
      </c>
      <c r="F24" s="89">
        <v>0.4</v>
      </c>
      <c r="G24" s="89">
        <v>0.9</v>
      </c>
      <c r="H24" s="89">
        <v>0.65</v>
      </c>
      <c r="I24" s="90">
        <v>371.5</v>
      </c>
      <c r="J24" s="91">
        <v>1200</v>
      </c>
      <c r="K24" s="92">
        <f>IF(J24="-",0,I24*J24)</f>
        <v>445800</v>
      </c>
      <c r="L24" s="93">
        <f>IF(H24="-","-",K24*H24)</f>
        <v>289770</v>
      </c>
      <c r="M24" s="94">
        <f>IF($H24="-","-",(($K24/(-0.8+1)*((1/(1-$H24))^(-0.8+1)-1))))</f>
        <v>520770.57053977076</v>
      </c>
      <c r="N24" s="94">
        <f>IF($H24="-","-",(($K24/(-1.2+1)*((1/(1-$H24))^(-1.2+1)-1))))</f>
        <v>422143.43777244235</v>
      </c>
      <c r="O24" s="57"/>
    </row>
    <row r="25" spans="1:15" ht="29.25">
      <c r="A25" s="85" t="s">
        <v>106</v>
      </c>
      <c r="B25" s="85" t="s">
        <v>107</v>
      </c>
      <c r="C25" s="86" t="s">
        <v>108</v>
      </c>
      <c r="D25" s="87" t="s">
        <v>48</v>
      </c>
      <c r="E25" s="88" t="s">
        <v>79</v>
      </c>
      <c r="F25" s="89">
        <v>0.1</v>
      </c>
      <c r="G25" s="89">
        <v>0.4</v>
      </c>
      <c r="H25" s="89">
        <v>0.25</v>
      </c>
      <c r="I25" s="90">
        <v>524.4</v>
      </c>
      <c r="J25" s="91">
        <v>4998</v>
      </c>
      <c r="K25" s="92">
        <f>IF(J25="-",0,I25*J25)</f>
        <v>2620951.1999999997</v>
      </c>
      <c r="L25" s="93">
        <f>IF(H25="-","-",K25*H25)</f>
        <v>655237.7999999999</v>
      </c>
      <c r="M25" s="94">
        <f>IF($H25="-","-",(($K25/(-0.8+1)*((1/(1-$H25))^(-0.8+1)-1))))</f>
        <v>776113.9863274677</v>
      </c>
      <c r="N25" s="94">
        <f>IF($H25="-","-",(($K25/(-1.2+1)*((1/(1-$H25))^(-1.2+1)-1))))</f>
        <v>732719.5218330655</v>
      </c>
      <c r="O25" s="57"/>
    </row>
    <row r="26" spans="1:15" ht="16.5">
      <c r="A26" s="64" t="s">
        <v>109</v>
      </c>
      <c r="B26" s="64" t="s">
        <v>110</v>
      </c>
      <c r="C26" s="65" t="s">
        <v>111</v>
      </c>
      <c r="D26" s="66" t="s">
        <v>40</v>
      </c>
      <c r="E26" s="67" t="s">
        <v>79</v>
      </c>
      <c r="F26" s="68">
        <f>IF(E26="No aumenta",0,IF(E26="Pequeña",0,IF(E26="Moderada",0.1,IF(E26="Grande",0.4,IF(E26="Esencial",0.9,"-")))))</f>
        <v>0.1</v>
      </c>
      <c r="G26" s="68">
        <f>IF(E26="No aumenta",0,IF(E26="Pequeña",0.1,IF(E26="Moderada",0.4,IF(E26="Grande",0.9,IF(E26="Esencial",1,"-")))))</f>
        <v>0.4</v>
      </c>
      <c r="H26" s="68">
        <f>IF(F26="-","-",AVERAGE(F26:G26))</f>
        <v>0.25</v>
      </c>
      <c r="I26" s="69">
        <v>1167.4</v>
      </c>
      <c r="J26" s="70">
        <v>36</v>
      </c>
      <c r="K26" s="71">
        <f>IF(J26="-",0,I26*J26)</f>
        <v>42026.4</v>
      </c>
      <c r="L26" s="72">
        <f>IF(H26="-","-",K26*H26)</f>
        <v>10506.6</v>
      </c>
      <c r="M26" s="73">
        <f>IF($H26="-","-",(($K26/(-0.8+1)*((1/(1-$H26))^(-0.8+1)-1))))</f>
        <v>12444.824167269004</v>
      </c>
      <c r="N26" s="73">
        <f>IF($H26="-","-",(($K26/(-1.2+1)*((1/(1-$H26))^(-1.2+1)-1))))</f>
        <v>11749.00307657966</v>
      </c>
      <c r="O26" s="57"/>
    </row>
    <row r="27" spans="1:15" ht="42.75">
      <c r="A27" s="85" t="s">
        <v>112</v>
      </c>
      <c r="B27" s="85" t="s">
        <v>113</v>
      </c>
      <c r="C27" s="86" t="s">
        <v>114</v>
      </c>
      <c r="D27" s="87" t="s">
        <v>48</v>
      </c>
      <c r="E27" s="88" t="s">
        <v>62</v>
      </c>
      <c r="F27" s="89" t="s">
        <v>63</v>
      </c>
      <c r="G27" s="89" t="s">
        <v>63</v>
      </c>
      <c r="H27" s="89" t="s">
        <v>63</v>
      </c>
      <c r="I27" s="90">
        <v>1879.1</v>
      </c>
      <c r="J27" s="91">
        <v>282</v>
      </c>
      <c r="K27" s="92">
        <f>IF(J27="-",0,I27*J27)</f>
        <v>529906.2</v>
      </c>
      <c r="L27" s="93" t="str">
        <f>IF(H27="-","-",K27*H27)</f>
        <v>-</v>
      </c>
      <c r="M27" s="94" t="str">
        <f>IF($H27="-","-",(($K27/(-0.8+1)*((1/(1-$H27))^(-0.8+1)-1))))</f>
        <v>-</v>
      </c>
      <c r="N27" s="94" t="str">
        <f>IF($H27="-","-",(($K27/(-1.2+1)*((1/(1-$H27))^(-1.2+1)-1))))</f>
        <v>-</v>
      </c>
      <c r="O27" s="57"/>
    </row>
    <row r="28" spans="1:15" ht="16.5">
      <c r="A28" s="64" t="s">
        <v>118</v>
      </c>
      <c r="B28" s="64" t="s">
        <v>119</v>
      </c>
      <c r="C28" s="65" t="s">
        <v>120</v>
      </c>
      <c r="D28" s="66" t="s">
        <v>40</v>
      </c>
      <c r="E28" s="67" t="s">
        <v>68</v>
      </c>
      <c r="F28" s="68">
        <f>IF(E28="No aumenta",0,IF(E28="Pequeña",0,IF(E28="Moderada",0.1,IF(E28="Grande",0.4,IF(E28="Esencial",0.9,"-")))))</f>
        <v>0</v>
      </c>
      <c r="G28" s="68">
        <f>IF(E28="No aumenta",0,IF(E28="Pequeña",0.1,IF(E28="Moderada",0.4,IF(E28="Grande",0.9,IF(E28="Esencial",1,"-")))))</f>
        <v>0</v>
      </c>
      <c r="H28" s="68">
        <f>IF(F28="-","-",AVERAGE(F28:G28))</f>
        <v>0</v>
      </c>
      <c r="I28" s="69">
        <v>601</v>
      </c>
      <c r="J28" s="70">
        <v>113197</v>
      </c>
      <c r="K28" s="71">
        <f>IF(J28="-",0,I28*J28)</f>
        <v>68031397</v>
      </c>
      <c r="L28" s="72">
        <f>IF(H28="-","-",K28*H28)</f>
        <v>0</v>
      </c>
      <c r="M28" s="73">
        <f>IF($H28="-","-",(($K28/(-0.8+1)*((1/(1-$H28))^(-0.8+1)-1))))</f>
        <v>0</v>
      </c>
      <c r="N28" s="73">
        <f>IF($H28="-","-",(($K28/(-1.2+1)*((1/(1-$H28))^(-1.2+1)-1))))</f>
        <v>0</v>
      </c>
      <c r="O28" s="57"/>
    </row>
    <row r="29" spans="1:15" ht="29.25">
      <c r="A29" s="47" t="s">
        <v>121</v>
      </c>
      <c r="B29" s="47" t="s">
        <v>122</v>
      </c>
      <c r="C29" s="48" t="s">
        <v>123</v>
      </c>
      <c r="D29" s="49" t="s">
        <v>34</v>
      </c>
      <c r="E29" s="50" t="s">
        <v>68</v>
      </c>
      <c r="F29" s="51">
        <f>IF(E29="No aumenta",0,IF(E29="Pequeña",0,IF(E29="Moderada",0.1,IF(E29="Grande",0.4,IF(E29="Esencial",0.9,"-")))))</f>
        <v>0</v>
      </c>
      <c r="G29" s="51">
        <f>IF(E29="No aumenta",0,IF(E29="Pequeña",0.1,IF(E29="Moderada",0.4,IF(E29="Grande",0.9,IF(E29="Esencial",1,"-")))))</f>
        <v>0</v>
      </c>
      <c r="H29" s="51">
        <f>IF(F29="-","-",AVERAGE(F29:G29))</f>
        <v>0</v>
      </c>
      <c r="I29" s="157">
        <v>1668.3</v>
      </c>
      <c r="J29" s="158">
        <v>11</v>
      </c>
      <c r="K29" s="54">
        <f>IF(J29="-",0,I29*J29)</f>
        <v>18351.3</v>
      </c>
      <c r="L29" s="55">
        <f>IF(H29="-","-",K29*H29)</f>
        <v>0</v>
      </c>
      <c r="M29" s="56">
        <f>IF($H29="-","-",(($K29/(-0.8+1)*((1/(1-$H29))^(-0.8+1)-1))))</f>
        <v>0</v>
      </c>
      <c r="N29" s="56">
        <f>IF($H29="-","-",(($K29/(-1.2+1)*((1/(1-$H29))^(-1.2+1)-1))))</f>
        <v>0</v>
      </c>
      <c r="O29" s="57"/>
    </row>
    <row r="30" spans="1:15" ht="16.5">
      <c r="A30" s="64" t="s">
        <v>127</v>
      </c>
      <c r="B30" s="64" t="s">
        <v>128</v>
      </c>
      <c r="C30" s="65" t="s">
        <v>129</v>
      </c>
      <c r="D30" s="171" t="s">
        <v>40</v>
      </c>
      <c r="E30" s="67" t="s">
        <v>130</v>
      </c>
      <c r="F30" s="68">
        <f>IF(E30="No aumenta",0,IF(E30="Pequeña",0,IF(E30="Moderada",0.1,IF(E30="Grande",0.4,IF(E30="Esencial",0.9,"-")))))</f>
        <v>0.9</v>
      </c>
      <c r="G30" s="68">
        <f>IF(E30="No aumenta",0,IF(E30="Pequeña",0.1,IF(E30="Moderada",0.4,IF(E30="Grande",0.9,IF(E30="Esencial",1,"-")))))</f>
        <v>1</v>
      </c>
      <c r="H30" s="68">
        <f>IF(F30="-","-",AVERAGE(F30:G30))</f>
        <v>0.95</v>
      </c>
      <c r="I30" s="69">
        <v>706</v>
      </c>
      <c r="J30" s="70">
        <v>324</v>
      </c>
      <c r="K30" s="71">
        <f>IF(J30="-",0,I30*J30)</f>
        <v>228744</v>
      </c>
      <c r="L30" s="72">
        <f>IF(H30="-","-",K30*H30)</f>
        <v>217306.8</v>
      </c>
      <c r="M30" s="73">
        <f>IF($H30="-","-",(($K30/(-0.8+1)*((1/(1-$H30))^(-0.8+1)-1))))</f>
        <v>938495.6902849881</v>
      </c>
      <c r="N30" s="73">
        <f>IF($H30="-","-",(($K30/(-1.2+1)*((1/(1-$H30))^(-1.2+1)-1))))</f>
        <v>515497.1677049634</v>
      </c>
      <c r="O30" s="57"/>
    </row>
    <row r="31" spans="1:15" ht="16.5">
      <c r="A31" s="134" t="s">
        <v>134</v>
      </c>
      <c r="B31" s="134" t="s">
        <v>135</v>
      </c>
      <c r="C31" s="135" t="s">
        <v>136</v>
      </c>
      <c r="D31" s="95" t="s">
        <v>50</v>
      </c>
      <c r="E31" s="136" t="s">
        <v>68</v>
      </c>
      <c r="F31" s="137">
        <v>0</v>
      </c>
      <c r="G31" s="137">
        <v>0</v>
      </c>
      <c r="H31" s="137">
        <v>0</v>
      </c>
      <c r="I31" s="138">
        <v>761.9</v>
      </c>
      <c r="J31" s="139">
        <v>48</v>
      </c>
      <c r="K31" s="140">
        <f>IF(J31="-",0,I31*J31)</f>
        <v>36571.2</v>
      </c>
      <c r="L31" s="141">
        <f>IF(H31="-","-",K31*H31)</f>
        <v>0</v>
      </c>
      <c r="M31" s="142">
        <f>IF($H31="-","-",(($K31/(-0.8+1)*((1/(1-$H31))^(-0.8+1)-1))))</f>
        <v>0</v>
      </c>
      <c r="N31" s="142">
        <f>IF($H31="-","-",(($K31/(-1.2+1)*((1/(1-$H31))^(-1.2+1)-1))))</f>
        <v>0</v>
      </c>
      <c r="O31" s="57"/>
    </row>
    <row r="32" spans="1:15" ht="42.75">
      <c r="A32" s="85" t="s">
        <v>137</v>
      </c>
      <c r="B32" s="85" t="s">
        <v>138</v>
      </c>
      <c r="C32" s="86" t="s">
        <v>139</v>
      </c>
      <c r="D32" s="87" t="s">
        <v>48</v>
      </c>
      <c r="E32" s="88" t="s">
        <v>49</v>
      </c>
      <c r="F32" s="89" t="str">
        <f>IF(E32="No aumenta",0,IF(E32="Pequeña",0,IF(E32="Moderada",0.1,IF(E32="Grande",0.4,IF(E32="Esencial",0.9,"-")))))</f>
        <v>-</v>
      </c>
      <c r="G32" s="89" t="str">
        <f>IF(E32="No aumenta",0,IF(E32="Pequeña",0.1,IF(E32="Moderada",0.4,IF(E32="Grande",0.9,IF(E32="Esencial",1,"-")))))</f>
        <v>-</v>
      </c>
      <c r="H32" s="89" t="str">
        <f>IF(F32="-","-",AVERAGE(F32:G32))</f>
        <v>-</v>
      </c>
      <c r="I32" s="90">
        <v>300</v>
      </c>
      <c r="J32" s="91">
        <v>13755</v>
      </c>
      <c r="K32" s="92">
        <f>IF(J32="-",0,I32*J32)</f>
        <v>4126500</v>
      </c>
      <c r="L32" s="93" t="str">
        <f>IF(H32="-","-",K32*H32)</f>
        <v>-</v>
      </c>
      <c r="M32" s="94" t="str">
        <f>IF($H32="-","-",(($K32/(-0.8+1)*((1/(1-$H32))^(-0.8+1)-1))))</f>
        <v>-</v>
      </c>
      <c r="N32" s="94" t="str">
        <f>IF($H32="-","-",(($K32/(-1.2+1)*((1/(1-$H32))^(-1.2+1)-1))))</f>
        <v>-</v>
      </c>
      <c r="O32" s="57"/>
    </row>
    <row r="33" spans="1:15" ht="16.5">
      <c r="A33" s="119" t="s">
        <v>143</v>
      </c>
      <c r="B33" s="119" t="s">
        <v>144</v>
      </c>
      <c r="C33" s="120" t="s">
        <v>145</v>
      </c>
      <c r="D33" s="121" t="s">
        <v>36</v>
      </c>
      <c r="E33" s="122" t="s">
        <v>68</v>
      </c>
      <c r="F33" s="123">
        <v>0</v>
      </c>
      <c r="G33" s="123">
        <v>0</v>
      </c>
      <c r="H33" s="123">
        <v>0</v>
      </c>
      <c r="I33" s="124">
        <v>216.9</v>
      </c>
      <c r="J33" s="125">
        <v>163970</v>
      </c>
      <c r="K33" s="126">
        <f>IF(J33="-",0,I33*J33)</f>
        <v>35565093</v>
      </c>
      <c r="L33" s="127">
        <f>IF(H33="-","-",K33*H33)</f>
        <v>0</v>
      </c>
      <c r="M33" s="128">
        <f>IF($H33="-","-",(($K33/(-0.8+1)*((1/(1-$H33))^(-0.8+1)-1))))</f>
        <v>0</v>
      </c>
      <c r="N33" s="128">
        <f>IF($H33="-","-",(($K33/(-1.2+1)*((1/(1-$H33))^(-1.2+1)-1))))</f>
        <v>0</v>
      </c>
      <c r="O33" s="57"/>
    </row>
    <row r="34" spans="1:15" ht="29.25">
      <c r="A34" s="85" t="s">
        <v>146</v>
      </c>
      <c r="B34" s="85" t="s">
        <v>147</v>
      </c>
      <c r="C34" s="86" t="s">
        <v>148</v>
      </c>
      <c r="D34" s="87" t="s">
        <v>48</v>
      </c>
      <c r="E34" s="88" t="s">
        <v>68</v>
      </c>
      <c r="F34" s="89">
        <f>IF(E34="No aumenta",0,IF(E34="Pequeña",0,IF(E34="Moderada",0.1,IF(E34="Grande",0.4,IF(E34="Esencial",0.9,"-")))))</f>
        <v>0</v>
      </c>
      <c r="G34" s="89">
        <f>IF(E34="No aumenta",0,IF(E34="Pequeña",0.1,IF(E34="Moderada",0.4,IF(E34="Grande",0.9,IF(E34="Esencial",1,"-")))))</f>
        <v>0</v>
      </c>
      <c r="H34" s="89">
        <f>IF(F34="-","-",AVERAGE(F34:G34))</f>
        <v>0</v>
      </c>
      <c r="I34" s="90">
        <v>1034.6</v>
      </c>
      <c r="J34" s="91">
        <f>3299+366</f>
        <v>3665</v>
      </c>
      <c r="K34" s="92">
        <f>IF(J34="-",0,I34*J34)</f>
        <v>3791808.9999999995</v>
      </c>
      <c r="L34" s="93">
        <f>IF(H34="-","-",K34*H34)</f>
        <v>0</v>
      </c>
      <c r="M34" s="94">
        <f>IF($H34="-","-",(($K34/(-0.8+1)*((1/(1-$H34))^(-0.8+1)-1))))</f>
        <v>0</v>
      </c>
      <c r="N34" s="94">
        <f>IF($H34="-","-",(($K34/(-1.2+1)*((1/(1-$H34))^(-1.2+1)-1))))</f>
        <v>0</v>
      </c>
      <c r="O34" s="57"/>
    </row>
    <row r="35" spans="1:15" ht="16.5">
      <c r="A35" s="119" t="s">
        <v>149</v>
      </c>
      <c r="B35" s="119" t="s">
        <v>150</v>
      </c>
      <c r="C35" s="120" t="s">
        <v>151</v>
      </c>
      <c r="D35" s="121" t="s">
        <v>36</v>
      </c>
      <c r="E35" s="122" t="s">
        <v>68</v>
      </c>
      <c r="F35" s="123">
        <v>0</v>
      </c>
      <c r="G35" s="123">
        <v>0</v>
      </c>
      <c r="H35" s="123">
        <v>0</v>
      </c>
      <c r="I35" s="124">
        <v>181.5</v>
      </c>
      <c r="J35" s="125">
        <v>44409</v>
      </c>
      <c r="K35" s="126">
        <f>IF(J35="-",0,I35*J35)</f>
        <v>8060233.5</v>
      </c>
      <c r="L35" s="127">
        <f>IF(H35="-","-",K35*H35)</f>
        <v>0</v>
      </c>
      <c r="M35" s="128">
        <f>IF($H35="-","-",(($K35/(-0.8+1)*((1/(1-$H35))^(-0.8+1)-1))))</f>
        <v>0</v>
      </c>
      <c r="N35" s="128">
        <f>IF($H35="-","-",(($K35/(-1.2+1)*((1/(1-$H35))^(-1.2+1)-1))))</f>
        <v>0</v>
      </c>
      <c r="O35" s="57"/>
    </row>
    <row r="36" spans="1:15" ht="16.5">
      <c r="A36" s="174" t="s">
        <v>152</v>
      </c>
      <c r="B36" s="174" t="s">
        <v>153</v>
      </c>
      <c r="C36" s="175" t="s">
        <v>154</v>
      </c>
      <c r="D36" s="79" t="s">
        <v>44</v>
      </c>
      <c r="E36" s="176" t="s">
        <v>68</v>
      </c>
      <c r="F36" s="177">
        <f>IF(E36="No aumenta",0,IF(E36="Pequeña",0,IF(E36="Moderada",0.1,IF(E36="Grande",0.4,IF(E36="Esencial",0.9,"-")))))</f>
        <v>0</v>
      </c>
      <c r="G36" s="177">
        <f>IF(E36="No aumenta",0,IF(E36="Pequeña",0.1,IF(E36="Moderada",0.4,IF(E36="Grande",0.9,IF(E36="Esencial",1,"-")))))</f>
        <v>0</v>
      </c>
      <c r="H36" s="177">
        <f>IF(F36="-","-",AVERAGE(F36:G36))</f>
        <v>0</v>
      </c>
      <c r="I36" s="178">
        <v>396.6</v>
      </c>
      <c r="J36" s="179">
        <v>17473</v>
      </c>
      <c r="K36" s="180">
        <f>IF(J36="-",0,I36*J36)</f>
        <v>6929791.800000001</v>
      </c>
      <c r="L36" s="181">
        <f>IF(H36="-","-",K36*H36)</f>
        <v>0</v>
      </c>
      <c r="M36" s="182">
        <f>IF($H36="-","-",(($K36/(-0.8+1)*((1/(1-$H36))^(-0.8+1)-1))))</f>
        <v>0</v>
      </c>
      <c r="N36" s="182">
        <f>IF($H36="-","-",(($K36/(-1.2+1)*((1/(1-$H36))^(-1.2+1)-1))))</f>
        <v>0</v>
      </c>
      <c r="O36" s="57"/>
    </row>
    <row r="37" spans="1:15" ht="42.75">
      <c r="A37" s="85" t="s">
        <v>155</v>
      </c>
      <c r="B37" s="85" t="s">
        <v>156</v>
      </c>
      <c r="C37" s="86" t="s">
        <v>157</v>
      </c>
      <c r="D37" s="87" t="s">
        <v>48</v>
      </c>
      <c r="E37" s="88" t="s">
        <v>49</v>
      </c>
      <c r="F37" s="89" t="s">
        <v>63</v>
      </c>
      <c r="G37" s="89" t="s">
        <v>63</v>
      </c>
      <c r="H37" s="89" t="s">
        <v>63</v>
      </c>
      <c r="I37" s="90">
        <v>677.7</v>
      </c>
      <c r="J37" s="91">
        <v>265</v>
      </c>
      <c r="K37" s="92">
        <f>IF(J37="-",0,I37*J37)</f>
        <v>179590.5</v>
      </c>
      <c r="L37" s="93" t="str">
        <f>IF(H37="-","-",K37*H37)</f>
        <v>-</v>
      </c>
      <c r="M37" s="94" t="str">
        <f>IF($H37="-","-",(($K37/(-0.8+1)*((1/(1-$H37))^(-0.8+1)-1))))</f>
        <v>-</v>
      </c>
      <c r="N37" s="94" t="str">
        <f>IF($H37="-","-",(($K37/(-1.2+1)*((1/(1-$H37))^(-1.2+1)-1))))</f>
        <v>-</v>
      </c>
      <c r="O37" s="57"/>
    </row>
    <row r="38" spans="1:15" ht="42.75">
      <c r="A38" s="85" t="s">
        <v>158</v>
      </c>
      <c r="B38" s="85" t="s">
        <v>159</v>
      </c>
      <c r="C38" s="86" t="s">
        <v>157</v>
      </c>
      <c r="D38" s="87" t="s">
        <v>48</v>
      </c>
      <c r="E38" s="88" t="s">
        <v>49</v>
      </c>
      <c r="F38" s="89" t="s">
        <v>63</v>
      </c>
      <c r="G38" s="89" t="s">
        <v>63</v>
      </c>
      <c r="H38" s="89" t="s">
        <v>63</v>
      </c>
      <c r="I38" s="90">
        <v>174.9</v>
      </c>
      <c r="J38" s="91">
        <v>17222</v>
      </c>
      <c r="K38" s="92">
        <f>IF(J38="-",0,I38*J38)</f>
        <v>3012127.8000000003</v>
      </c>
      <c r="L38" s="93" t="str">
        <f>IF(H38="-","-",K38*H38)</f>
        <v>-</v>
      </c>
      <c r="M38" s="94" t="str">
        <f>IF($H38="-","-",(($K38/(-0.8+1)*((1/(1-$H38))^(-0.8+1)-1))))</f>
        <v>-</v>
      </c>
      <c r="N38" s="94" t="str">
        <f>IF($H38="-","-",(($K38/(-1.2+1)*((1/(1-$H38))^(-1.2+1)-1))))</f>
        <v>-</v>
      </c>
      <c r="O38" s="57"/>
    </row>
    <row r="39" spans="1:15" ht="56.25">
      <c r="A39" s="85" t="s">
        <v>163</v>
      </c>
      <c r="B39" s="85" t="s">
        <v>164</v>
      </c>
      <c r="C39" s="86" t="s">
        <v>165</v>
      </c>
      <c r="D39" s="87" t="s">
        <v>48</v>
      </c>
      <c r="E39" s="88" t="s">
        <v>130</v>
      </c>
      <c r="F39" s="89">
        <f>IF(E39="No aumenta",0,IF(E39="Pequeña",0,IF(E39="Moderada",0.1,IF(E39="Grande",0.4,IF(E39="Esencial",0.9,"-")))))</f>
        <v>0.9</v>
      </c>
      <c r="G39" s="89">
        <f>IF(E39="No aumenta",0,IF(E39="Pequeña",0.1,IF(E39="Moderada",0.4,IF(E39="Grande",0.9,IF(E39="Esencial",1,"-")))))</f>
        <v>1</v>
      </c>
      <c r="H39" s="89">
        <f>IF(F39="-","-",AVERAGE(F39:G39))</f>
        <v>0.95</v>
      </c>
      <c r="I39" s="90">
        <v>259.9</v>
      </c>
      <c r="J39" s="91">
        <v>240</v>
      </c>
      <c r="K39" s="92">
        <f>IF(J39="-",0,I39*J39)</f>
        <v>62375.99999999999</v>
      </c>
      <c r="L39" s="93">
        <f>IF(H39="-","-",K39*H39)</f>
        <v>59257.19999999999</v>
      </c>
      <c r="M39" s="94">
        <f>IF($H39="-","-",(($K39/(-0.8+1)*((1/(1-$H39))^(-0.8+1)-1))))</f>
        <v>255917.5636397738</v>
      </c>
      <c r="N39" s="94">
        <f>IF($H39="-","-",(($K39/(-1.2+1)*((1/(1-$H39))^(-1.2+1)-1))))</f>
        <v>140570.46887684398</v>
      </c>
      <c r="O39" s="57"/>
    </row>
    <row r="40" spans="1:15" ht="42.75">
      <c r="A40" s="64" t="s">
        <v>166</v>
      </c>
      <c r="B40" s="64" t="s">
        <v>167</v>
      </c>
      <c r="C40" s="65" t="s">
        <v>168</v>
      </c>
      <c r="D40" s="66" t="s">
        <v>40</v>
      </c>
      <c r="E40" s="67" t="s">
        <v>35</v>
      </c>
      <c r="F40" s="68">
        <v>0.4</v>
      </c>
      <c r="G40" s="68">
        <v>0.9</v>
      </c>
      <c r="H40" s="68">
        <v>0.65</v>
      </c>
      <c r="I40" s="69">
        <v>532.1</v>
      </c>
      <c r="J40" s="70">
        <f>18759+1928</f>
        <v>20687</v>
      </c>
      <c r="K40" s="71">
        <f>IF(J40="-",0,I40*J40)</f>
        <v>11007552.700000001</v>
      </c>
      <c r="L40" s="72">
        <f>IF(H40="-","-",K40*H40)</f>
        <v>7154909.255000001</v>
      </c>
      <c r="M40" s="73">
        <f>IF($H40="-","-",(($K40/(-0.8+1)*((1/(1-$H40))^(-0.8+1)-1))))</f>
        <v>12858702.332493482</v>
      </c>
      <c r="N40" s="73">
        <f>IF($H40="-","-",(($K40/(-1.2+1)*((1/(1-$H40))^(-1.2+1)-1))))</f>
        <v>10423432.34239419</v>
      </c>
      <c r="O40" s="57"/>
    </row>
    <row r="41" spans="1:15" ht="16.5">
      <c r="A41" s="64" t="s">
        <v>169</v>
      </c>
      <c r="B41" s="64" t="s">
        <v>170</v>
      </c>
      <c r="C41" s="65" t="s">
        <v>171</v>
      </c>
      <c r="D41" s="66" t="s">
        <v>40</v>
      </c>
      <c r="E41" s="67" t="s">
        <v>35</v>
      </c>
      <c r="F41" s="68">
        <v>0.4</v>
      </c>
      <c r="G41" s="68">
        <v>0.9</v>
      </c>
      <c r="H41" s="68">
        <v>0.65</v>
      </c>
      <c r="I41" s="69">
        <v>427.4</v>
      </c>
      <c r="J41" s="70">
        <v>15620</v>
      </c>
      <c r="K41" s="71">
        <f>IF(J41="-",0,I41*J41)</f>
        <v>6675988</v>
      </c>
      <c r="L41" s="72">
        <f>IF(H41="-","-",K41*H41)</f>
        <v>4339392.2</v>
      </c>
      <c r="M41" s="73">
        <f>IF($H41="-","-",(($K41/(-0.8+1)*((1/(1-$H41))^(-0.8+1)-1))))</f>
        <v>7798694.660557792</v>
      </c>
      <c r="N41" s="73">
        <f>IF($H41="-","-",(($K41/(-1.2+1)*((1/(1-$H41))^(-1.2+1)-1))))</f>
        <v>6321723.922942063</v>
      </c>
      <c r="O41" s="57"/>
    </row>
    <row r="42" spans="1:15" ht="29.25">
      <c r="A42" s="134" t="s">
        <v>172</v>
      </c>
      <c r="B42" s="134" t="s">
        <v>173</v>
      </c>
      <c r="C42" s="135" t="s">
        <v>174</v>
      </c>
      <c r="D42" s="95" t="s">
        <v>50</v>
      </c>
      <c r="E42" s="136" t="s">
        <v>68</v>
      </c>
      <c r="F42" s="137">
        <f>IF(E42="No aumenta",0,IF(E42="Pequeña",0,IF(E42="Moderada",0.1,IF(E42="Grande",0.4,IF(E42="Esencial",0.9,"-")))))</f>
        <v>0</v>
      </c>
      <c r="G42" s="137">
        <f>IF(E42="No aumenta",0,IF(E42="Pequeña",0.1,IF(E42="Moderada",0.4,IF(E42="Grande",0.9,IF(E42="Esencial",1,"-")))))</f>
        <v>0</v>
      </c>
      <c r="H42" s="137">
        <f>IF(F42="-","-",AVERAGE(F42:G42))</f>
        <v>0</v>
      </c>
      <c r="I42" s="138">
        <v>223.6</v>
      </c>
      <c r="J42" s="139">
        <v>5352</v>
      </c>
      <c r="K42" s="140">
        <f>IF(J42="-",0,I42*J42)</f>
        <v>1196707.2</v>
      </c>
      <c r="L42" s="141">
        <f>IF(H42="-","-",K42*H42)</f>
        <v>0</v>
      </c>
      <c r="M42" s="142">
        <f>IF($H42="-","-",(($K42/(-0.8+1)*((1/(1-$H42))^(-0.8+1)-1))))</f>
        <v>0</v>
      </c>
      <c r="N42" s="142">
        <f>IF($H42="-","-",(($K42/(-1.2+1)*((1/(1-$H42))^(-1.2+1)-1))))</f>
        <v>0</v>
      </c>
      <c r="O42" s="57"/>
    </row>
    <row r="43" spans="1:15" ht="29.25">
      <c r="A43" s="85" t="s">
        <v>175</v>
      </c>
      <c r="B43" s="85" t="s">
        <v>176</v>
      </c>
      <c r="C43" s="86" t="s">
        <v>174</v>
      </c>
      <c r="D43" s="87" t="s">
        <v>48</v>
      </c>
      <c r="E43" s="88" t="s">
        <v>68</v>
      </c>
      <c r="F43" s="89">
        <f>IF(E43="No aumenta",0,IF(E43="Pequeña",0,IF(E43="Moderada",0.1,IF(E43="Grande",0.4,IF(E43="Esencial",0.9,"-")))))</f>
        <v>0</v>
      </c>
      <c r="G43" s="89">
        <f>IF(E43="No aumenta",0,IF(E43="Pequeña",0.1,IF(E43="Moderada",0.4,IF(E43="Grande",0.9,IF(E43="Esencial",1,"-")))))</f>
        <v>0</v>
      </c>
      <c r="H43" s="89">
        <f>IF(F43="-","-",AVERAGE(F43:G43))</f>
        <v>0</v>
      </c>
      <c r="I43" s="90">
        <v>1847.6</v>
      </c>
      <c r="J43" s="91">
        <v>10819</v>
      </c>
      <c r="K43" s="92">
        <f>IF(J43="-",0,I43*J43)</f>
        <v>19989184.4</v>
      </c>
      <c r="L43" s="93">
        <f>IF(H43="-","-",K43*H43)</f>
        <v>0</v>
      </c>
      <c r="M43" s="94">
        <f>IF($H43="-","-",(($K43/(-0.8+1)*((1/(1-$H43))^(-0.8+1)-1))))</f>
        <v>0</v>
      </c>
      <c r="N43" s="94">
        <f>IF($H43="-","-",(($K43/(-1.2+1)*((1/(1-$H43))^(-1.2+1)-1))))</f>
        <v>0</v>
      </c>
      <c r="O43" s="57"/>
    </row>
    <row r="44" spans="1:15" ht="29.25">
      <c r="A44" s="64" t="s">
        <v>177</v>
      </c>
      <c r="B44" s="64" t="s">
        <v>178</v>
      </c>
      <c r="C44" s="65" t="s">
        <v>179</v>
      </c>
      <c r="D44" s="66" t="s">
        <v>40</v>
      </c>
      <c r="E44" s="67" t="s">
        <v>35</v>
      </c>
      <c r="F44" s="68">
        <v>0.4</v>
      </c>
      <c r="G44" s="68">
        <v>0.9</v>
      </c>
      <c r="H44" s="68">
        <v>0.65</v>
      </c>
      <c r="I44" s="69">
        <v>471.3</v>
      </c>
      <c r="J44" s="70">
        <v>479</v>
      </c>
      <c r="K44" s="71">
        <f>IF(J44="-",0,I44*J44)</f>
        <v>225752.7</v>
      </c>
      <c r="L44" s="72">
        <f>IF(H44="-","-",K44*H44)</f>
        <v>146739.255</v>
      </c>
      <c r="M44" s="73">
        <f>IF($H44="-","-",(($K44/(-0.8+1)*((1/(1-$H44))^(-0.8+1)-1))))</f>
        <v>263717.72628957767</v>
      </c>
      <c r="N44" s="73">
        <f>IF($H44="-","-",(($K44/(-1.2+1)*((1/(1-$H44))^(-1.2+1)-1))))</f>
        <v>213773.0391754393</v>
      </c>
      <c r="O44" s="57"/>
    </row>
    <row r="45" spans="1:15" ht="42.75">
      <c r="A45" s="183" t="s">
        <v>180</v>
      </c>
      <c r="B45" s="183" t="s">
        <v>181</v>
      </c>
      <c r="C45" s="184" t="s">
        <v>182</v>
      </c>
      <c r="D45" s="101" t="s">
        <v>54</v>
      </c>
      <c r="E45" s="185" t="s">
        <v>62</v>
      </c>
      <c r="F45" s="186" t="s">
        <v>63</v>
      </c>
      <c r="G45" s="186" t="s">
        <v>63</v>
      </c>
      <c r="H45" s="186" t="s">
        <v>63</v>
      </c>
      <c r="I45" s="187">
        <v>212.7</v>
      </c>
      <c r="J45" s="188">
        <v>14960</v>
      </c>
      <c r="K45" s="189">
        <f>IF(J45="-",0,I45*J45)</f>
        <v>3181992</v>
      </c>
      <c r="L45" s="190" t="str">
        <f>IF(H45="-","-",K45*H45)</f>
        <v>-</v>
      </c>
      <c r="M45" s="191" t="str">
        <f>IF($H45="-","-",(($K45/(-0.8+1)*((1/(1-$H45))^(-0.8+1)-1))))</f>
        <v>-</v>
      </c>
      <c r="N45" s="191" t="str">
        <f>IF($H45="-","-",(($K45/(-1.2+1)*((1/(1-$H45))^(-1.2+1)-1))))</f>
        <v>-</v>
      </c>
      <c r="O45" s="57"/>
    </row>
    <row r="46" spans="1:15" ht="56.25">
      <c r="A46" s="85" t="s">
        <v>183</v>
      </c>
      <c r="B46" s="85" t="s">
        <v>184</v>
      </c>
      <c r="C46" s="86" t="s">
        <v>185</v>
      </c>
      <c r="D46" s="87" t="s">
        <v>48</v>
      </c>
      <c r="E46" s="88" t="s">
        <v>130</v>
      </c>
      <c r="F46" s="89">
        <f>IF(E46="No aumenta",0,IF(E46="Pequeña",0,IF(E46="Moderada",0.1,IF(E46="Grande",0.4,IF(E46="Esencial",0.9,"-")))))</f>
        <v>0.9</v>
      </c>
      <c r="G46" s="89">
        <f>IF(E46="No aumenta",0,IF(E46="Pequeña",0.1,IF(E46="Moderada",0.4,IF(E46="Grande",0.9,IF(E46="Esencial",1,"-")))))</f>
        <v>1</v>
      </c>
      <c r="H46" s="89">
        <f>IF(F46="-","-",AVERAGE(F46:G46))</f>
        <v>0.95</v>
      </c>
      <c r="I46" s="90">
        <v>333.5</v>
      </c>
      <c r="J46" s="91">
        <f>495+5295</f>
        <v>5790</v>
      </c>
      <c r="K46" s="92">
        <f>IF(J46="-",0,I46*J46)</f>
        <v>1930965</v>
      </c>
      <c r="L46" s="93">
        <f>IF(H46="-","-",K46*H46)</f>
        <v>1834416.75</v>
      </c>
      <c r="M46" s="94">
        <f>IF($H46="-","-",(($K46/(-0.8+1)*((1/(1-$H46))^(-0.8+1)-1))))</f>
        <v>7922403.781481273</v>
      </c>
      <c r="N46" s="94">
        <f>IF($H46="-","-",(($K46/(-1.2+1)*((1/(1-$H46))^(-1.2+1)-1))))</f>
        <v>4351620.101237255</v>
      </c>
      <c r="O46" s="57"/>
    </row>
    <row r="47" spans="1:15" ht="16.5">
      <c r="A47" s="64" t="s">
        <v>186</v>
      </c>
      <c r="B47" s="64" t="s">
        <v>187</v>
      </c>
      <c r="C47" s="192" t="s">
        <v>188</v>
      </c>
      <c r="D47" s="66" t="s">
        <v>40</v>
      </c>
      <c r="E47" s="67" t="s">
        <v>35</v>
      </c>
      <c r="F47" s="68">
        <v>0.4</v>
      </c>
      <c r="G47" s="68">
        <v>0.9</v>
      </c>
      <c r="H47" s="68">
        <v>0.65</v>
      </c>
      <c r="I47" s="69">
        <v>316.1</v>
      </c>
      <c r="J47" s="70">
        <v>46</v>
      </c>
      <c r="K47" s="71">
        <f>IF(J47="-",0,I47*J47)</f>
        <v>14540.6</v>
      </c>
      <c r="L47" s="72">
        <f>IF(H47="-","-",K47*H47)</f>
        <v>9451.390000000001</v>
      </c>
      <c r="M47" s="73">
        <f>IF($H47="-","-",(($K47/(-0.8+1)*((1/(1-$H47))^(-0.8+1)-1))))</f>
        <v>16985.905244483158</v>
      </c>
      <c r="N47" s="73">
        <f>IF($H47="-","-",(($K47/(-1.2+1)*((1/(1-$H47))^(-1.2+1)-1))))</f>
        <v>13768.9970194571</v>
      </c>
      <c r="O47" s="57"/>
    </row>
    <row r="48" spans="1:15" ht="16.5">
      <c r="A48" s="174" t="s">
        <v>189</v>
      </c>
      <c r="B48" s="174" t="s">
        <v>190</v>
      </c>
      <c r="C48" s="193" t="s">
        <v>191</v>
      </c>
      <c r="D48" s="79" t="s">
        <v>44</v>
      </c>
      <c r="E48" s="176" t="s">
        <v>79</v>
      </c>
      <c r="F48" s="177">
        <f>IF(E48="No aumenta",0,IF(E48="Pequeña",0,IF(E48="Moderada",0.1,IF(E48="Grande",0.4,IF(E48="Esencial",0.9,"-")))))</f>
        <v>0.1</v>
      </c>
      <c r="G48" s="177">
        <f>IF(E48="No aumenta",0,IF(E48="Pequeña",0.1,IF(E48="Moderada",0.4,IF(E48="Grande",0.9,IF(E48="Esencial",1,"-")))))</f>
        <v>0.4</v>
      </c>
      <c r="H48" s="177">
        <f>IF(F48="-","-",AVERAGE(F48:G48))</f>
        <v>0.25</v>
      </c>
      <c r="I48" s="178">
        <v>283.3</v>
      </c>
      <c r="J48" s="179">
        <v>4572</v>
      </c>
      <c r="K48" s="180">
        <f>IF(J48="-",0,I48*J48)</f>
        <v>1295247.6</v>
      </c>
      <c r="L48" s="181">
        <f>IF(H48="-","-",K48*H48)</f>
        <v>323811.9</v>
      </c>
      <c r="M48" s="182">
        <f>IF($H48="-","-",(($K48/(-0.8+1)*((1/(1-$H48))^(-0.8+1)-1))))</f>
        <v>383547.6899062774</v>
      </c>
      <c r="N48" s="182">
        <f>IF($H48="-","-",(($K48/(-1.2+1)*((1/(1-$H48))^(-1.2+1)-1))))</f>
        <v>362102.58402652666</v>
      </c>
      <c r="O48" s="57"/>
    </row>
    <row r="49" spans="1:15" ht="16.5">
      <c r="A49" s="119" t="s">
        <v>195</v>
      </c>
      <c r="B49" s="119" t="s">
        <v>196</v>
      </c>
      <c r="C49" s="120" t="s">
        <v>197</v>
      </c>
      <c r="D49" s="121" t="s">
        <v>36</v>
      </c>
      <c r="E49" s="194" t="s">
        <v>68</v>
      </c>
      <c r="F49" s="123">
        <v>0</v>
      </c>
      <c r="G49" s="123">
        <v>0</v>
      </c>
      <c r="H49" s="123">
        <v>0</v>
      </c>
      <c r="I49" s="124">
        <v>276.1</v>
      </c>
      <c r="J49" s="125">
        <v>17055</v>
      </c>
      <c r="K49" s="126">
        <f>IF(J49="-",0,I49*J49)</f>
        <v>4708885.5</v>
      </c>
      <c r="L49" s="127">
        <f>IF(H49="-","-",K49*H49)</f>
        <v>0</v>
      </c>
      <c r="M49" s="128">
        <f>IF($H49="-","-",(($K49/(-0.8+1)*((1/(1-$H49))^(-0.8+1)-1))))</f>
        <v>0</v>
      </c>
      <c r="N49" s="128">
        <f>IF($H49="-","-",(($K49/(-1.2+1)*((1/(1-$H49))^(-1.2+1)-1))))</f>
        <v>0</v>
      </c>
      <c r="O49" s="57"/>
    </row>
    <row r="50" spans="1:15" ht="16.5">
      <c r="A50" s="119" t="s">
        <v>198</v>
      </c>
      <c r="B50" s="119" t="s">
        <v>199</v>
      </c>
      <c r="C50" s="120" t="s">
        <v>200</v>
      </c>
      <c r="D50" s="121" t="s">
        <v>36</v>
      </c>
      <c r="E50" s="122" t="s">
        <v>68</v>
      </c>
      <c r="F50" s="123">
        <f>IF(E50="No aumenta",0,IF(E50="Pequeña",0,IF(E50="Moderada",0.1,IF(E50="Grande",0.4,IF(E50="Esencial",0.9,"-")))))</f>
        <v>0</v>
      </c>
      <c r="G50" s="123">
        <f>IF(E50="No aumenta",0,IF(E50="Pequeña",0.1,IF(E50="Moderada",0.4,IF(E50="Grande",0.9,IF(E50="Esencial",1,"-")))))</f>
        <v>0</v>
      </c>
      <c r="H50" s="123">
        <f>IF(F50="-","-",AVERAGE(F50:G50))</f>
        <v>0</v>
      </c>
      <c r="I50" s="124">
        <v>183.6</v>
      </c>
      <c r="J50" s="125">
        <v>96</v>
      </c>
      <c r="K50" s="126">
        <f>IF(J50="-",0,I50*J50)</f>
        <v>17625.6</v>
      </c>
      <c r="L50" s="127">
        <f>IF(H50="-","-",K50*H50)</f>
        <v>0</v>
      </c>
      <c r="M50" s="128">
        <f>IF($H50="-","-",(($K50/(-0.8+1)*((1/(1-$H50))^(-0.8+1)-1))))</f>
        <v>0</v>
      </c>
      <c r="N50" s="128">
        <f>IF($H50="-","-",(($K50/(-1.2+1)*((1/(1-$H50))^(-1.2+1)-1))))</f>
        <v>0</v>
      </c>
      <c r="O50" s="57"/>
    </row>
    <row r="51" spans="1:15" ht="16.5">
      <c r="A51" s="119" t="s">
        <v>207</v>
      </c>
      <c r="B51" s="119" t="s">
        <v>208</v>
      </c>
      <c r="C51" s="120" t="s">
        <v>209</v>
      </c>
      <c r="D51" s="121" t="s">
        <v>36</v>
      </c>
      <c r="E51" s="122" t="s">
        <v>68</v>
      </c>
      <c r="F51" s="123">
        <v>0</v>
      </c>
      <c r="G51" s="123">
        <v>0</v>
      </c>
      <c r="H51" s="123">
        <v>0</v>
      </c>
      <c r="I51" s="124">
        <v>200</v>
      </c>
      <c r="J51" s="125">
        <v>2495</v>
      </c>
      <c r="K51" s="126">
        <f>IF(J51="-",0,I51*J51)</f>
        <v>499000</v>
      </c>
      <c r="L51" s="127">
        <f>IF(H51="-","-",K51*H51)</f>
        <v>0</v>
      </c>
      <c r="M51" s="128">
        <f>IF($H51="-","-",(($K51/(-0.8+1)*((1/(1-$H51))^(-0.8+1)-1))))</f>
        <v>0</v>
      </c>
      <c r="N51" s="128">
        <f>IF($H51="-","-",(($K51/(-1.2+1)*((1/(1-$H51))^(-1.2+1)-1))))</f>
        <v>0</v>
      </c>
      <c r="O51" s="57"/>
    </row>
    <row r="52" spans="1:15" ht="16.5">
      <c r="A52" s="174" t="s">
        <v>210</v>
      </c>
      <c r="B52" s="174" t="s">
        <v>211</v>
      </c>
      <c r="C52" s="175" t="s">
        <v>212</v>
      </c>
      <c r="D52" s="79" t="s">
        <v>44</v>
      </c>
      <c r="E52" s="176" t="s">
        <v>79</v>
      </c>
      <c r="F52" s="177">
        <v>0.1</v>
      </c>
      <c r="G52" s="177">
        <v>0.4</v>
      </c>
      <c r="H52" s="177">
        <v>0.25</v>
      </c>
      <c r="I52" s="178">
        <v>336.1</v>
      </c>
      <c r="J52" s="179">
        <v>104</v>
      </c>
      <c r="K52" s="180">
        <f>IF(J52="-",0,I52*J52)</f>
        <v>34954.4</v>
      </c>
      <c r="L52" s="181">
        <f>IF(H52="-","-",K52*H52)</f>
        <v>8738.6</v>
      </c>
      <c r="M52" s="182">
        <f>IF($H52="-","-",(($K52/(-0.8+1)*((1/(1-$H52))^(-0.8+1)-1))))</f>
        <v>10350.669147783005</v>
      </c>
      <c r="N52" s="182">
        <f>IF($H52="-","-",(($K52/(-1.2+1)*((1/(1-$H52))^(-1.2+1)-1))))</f>
        <v>9771.937475967394</v>
      </c>
      <c r="O52" s="57"/>
    </row>
    <row r="53" spans="1:15" ht="16.5">
      <c r="A53" s="85" t="s">
        <v>213</v>
      </c>
      <c r="B53" s="85" t="s">
        <v>214</v>
      </c>
      <c r="C53" s="86" t="s">
        <v>215</v>
      </c>
      <c r="D53" s="87" t="s">
        <v>48</v>
      </c>
      <c r="E53" s="88" t="s">
        <v>68</v>
      </c>
      <c r="F53" s="89">
        <v>0</v>
      </c>
      <c r="G53" s="89">
        <v>0</v>
      </c>
      <c r="H53" s="89">
        <v>0</v>
      </c>
      <c r="I53" s="90">
        <v>508.7</v>
      </c>
      <c r="J53" s="91">
        <v>16500</v>
      </c>
      <c r="K53" s="92">
        <f>IF(J53="-",0,I53*J53)</f>
        <v>8393550</v>
      </c>
      <c r="L53" s="93">
        <f>IF(H53="-","-",K53*H53)</f>
        <v>0</v>
      </c>
      <c r="M53" s="94">
        <f>IF($H53="-","-",(($K53/(-0.8+1)*((1/(1-$H53))^(-0.8+1)-1))))</f>
        <v>0</v>
      </c>
      <c r="N53" s="94">
        <f>IF($H53="-","-",(($K53/(-1.2+1)*((1/(1-$H53))^(-1.2+1)-1))))</f>
        <v>0</v>
      </c>
      <c r="O53" s="57"/>
    </row>
    <row r="54" spans="1:13" s="1" customFormat="1" ht="29.25">
      <c r="A54" s="197" t="s">
        <v>219</v>
      </c>
      <c r="B54" s="197" t="s">
        <v>220</v>
      </c>
      <c r="C54" s="198" t="s">
        <v>221</v>
      </c>
      <c r="D54" s="113" t="s">
        <v>64</v>
      </c>
      <c r="E54" s="199" t="s">
        <v>68</v>
      </c>
      <c r="F54" s="200">
        <f>IF(E54="No aumenta",0,IF(E54="Pequeña",0,IF(E54="Moderada",0.1,IF(E54="Grande",0.4,IF(E54="Esencial",0.9,"-")))))</f>
        <v>0</v>
      </c>
      <c r="G54" s="200">
        <f>IF(E54="No aumenta",0,IF(E54="Pequeña",0.1,IF(E54="Moderada",0.4,IF(E54="Grande",0.9,IF(E54="Esencial",1,"-")))))</f>
        <v>0</v>
      </c>
      <c r="H54" s="200">
        <f>IF(F54="-","-",AVERAGE(F54:G54))</f>
        <v>0</v>
      </c>
      <c r="I54" s="201">
        <v>31.2</v>
      </c>
      <c r="J54" s="202">
        <v>5462</v>
      </c>
      <c r="K54" s="203">
        <f>IF(J54="-",0,I54*J54)</f>
        <v>170414.4</v>
      </c>
      <c r="L54" s="204">
        <f>IF($H54="-","-",(($K54/(-0.8+1)*((1/(1-$H54))^(-0.8+1)-1))))</f>
        <v>0</v>
      </c>
      <c r="M54" s="57"/>
    </row>
    <row r="55" spans="1:15" ht="29.25">
      <c r="A55" s="174" t="s">
        <v>222</v>
      </c>
      <c r="B55" s="174" t="s">
        <v>223</v>
      </c>
      <c r="C55" s="175" t="s">
        <v>224</v>
      </c>
      <c r="D55" s="79" t="s">
        <v>44</v>
      </c>
      <c r="E55" s="176" t="s">
        <v>79</v>
      </c>
      <c r="F55" s="177">
        <v>0.1</v>
      </c>
      <c r="G55" s="177">
        <v>0.4</v>
      </c>
      <c r="H55" s="177">
        <v>0.25</v>
      </c>
      <c r="I55" s="178">
        <v>380.1</v>
      </c>
      <c r="J55" s="179">
        <v>11890</v>
      </c>
      <c r="K55" s="180">
        <f>IF(J55="-",0,I55*J55)</f>
        <v>4519389</v>
      </c>
      <c r="L55" s="181">
        <f>IF(H55="-","-",K55*H55)</f>
        <v>1129847.25</v>
      </c>
      <c r="M55" s="182">
        <f>IF($H55="-","-",(($K55/(-0.8+1)*((1/(1-$H55))^(-0.8+1)-1))))</f>
        <v>1338277.8788687512</v>
      </c>
      <c r="N55" s="182">
        <f>IF($H55="-","-",(($K55/(-1.2+1)*((1/(1-$H55))^(-1.2+1)-1))))</f>
        <v>1263451.4320822214</v>
      </c>
      <c r="O55" s="57"/>
    </row>
    <row r="56" spans="1:15" ht="16.5">
      <c r="A56" s="85" t="s">
        <v>231</v>
      </c>
      <c r="B56" s="85" t="s">
        <v>232</v>
      </c>
      <c r="C56" s="86" t="s">
        <v>233</v>
      </c>
      <c r="D56" s="87" t="s">
        <v>48</v>
      </c>
      <c r="E56" s="88" t="s">
        <v>72</v>
      </c>
      <c r="F56" s="89">
        <v>0</v>
      </c>
      <c r="G56" s="89">
        <v>0.1</v>
      </c>
      <c r="H56" s="89">
        <v>0.05</v>
      </c>
      <c r="I56" s="90">
        <v>440.6</v>
      </c>
      <c r="J56" s="91">
        <v>158844</v>
      </c>
      <c r="K56" s="92">
        <f>IF(J56="-",0,I56*J56)</f>
        <v>69986666.4</v>
      </c>
      <c r="L56" s="93">
        <f>IF(H56="-","-",K56*H56)</f>
        <v>3499333.3200000003</v>
      </c>
      <c r="M56" s="94">
        <f>IF($H56="-","-",(($K56/(-0.8+1)*((1/(1-$H56))^(-0.8+1)-1))))</f>
        <v>3608323.3169078245</v>
      </c>
      <c r="N56" s="94">
        <f>IF($H56="-","-",(($K56/(-1.2+1)*((1/(1-$H56))^(-1.2+1)-1))))</f>
        <v>3571495.9813915323</v>
      </c>
      <c r="O56" s="57"/>
    </row>
    <row r="57" spans="1:15" ht="29.25">
      <c r="A57" s="47" t="s">
        <v>234</v>
      </c>
      <c r="B57" s="47" t="s">
        <v>235</v>
      </c>
      <c r="C57" s="48" t="s">
        <v>236</v>
      </c>
      <c r="D57" s="49" t="s">
        <v>34</v>
      </c>
      <c r="E57" s="50" t="s">
        <v>68</v>
      </c>
      <c r="F57" s="51" t="s">
        <v>63</v>
      </c>
      <c r="G57" s="51" t="s">
        <v>63</v>
      </c>
      <c r="H57" s="51" t="s">
        <v>63</v>
      </c>
      <c r="I57" s="157">
        <v>2087.7</v>
      </c>
      <c r="J57" s="158">
        <v>233</v>
      </c>
      <c r="K57" s="54">
        <f>IF(J57="-",0,I57*J57)</f>
        <v>486434.1</v>
      </c>
      <c r="L57" s="55" t="str">
        <f>IF(H57="-","-",K57*H57)</f>
        <v>-</v>
      </c>
      <c r="M57" s="56" t="str">
        <f>IF($H57="-","-",(($K57/(-0.8+1)*((1/(1-$H57))^(-0.8+1)-1))))</f>
        <v>-</v>
      </c>
      <c r="N57" s="56" t="str">
        <f>IF($H57="-","-",(($K57/(-1.2+1)*((1/(1-$H57))^(-1.2+1)-1))))</f>
        <v>-</v>
      </c>
      <c r="O57" s="57"/>
    </row>
    <row r="58" spans="1:15" ht="29.25">
      <c r="A58" s="119" t="s">
        <v>240</v>
      </c>
      <c r="B58" s="119" t="s">
        <v>241</v>
      </c>
      <c r="C58" s="120" t="s">
        <v>242</v>
      </c>
      <c r="D58" s="121" t="s">
        <v>36</v>
      </c>
      <c r="E58" s="122" t="s">
        <v>68</v>
      </c>
      <c r="F58" s="123">
        <v>0</v>
      </c>
      <c r="G58" s="123">
        <v>0</v>
      </c>
      <c r="H58" s="123">
        <v>0</v>
      </c>
      <c r="I58" s="124">
        <v>230.1</v>
      </c>
      <c r="J58" s="125">
        <v>341681</v>
      </c>
      <c r="K58" s="126">
        <f>IF(J58="-",0,I58*J58)</f>
        <v>78620798.1</v>
      </c>
      <c r="L58" s="127">
        <f>IF(H58="-","-",K58*H58)</f>
        <v>0</v>
      </c>
      <c r="M58" s="128">
        <f>IF($H58="-","-",(($K58/(-0.8+1)*((1/(1-$H58))^(-0.8+1)-1))))</f>
        <v>0</v>
      </c>
      <c r="N58" s="128">
        <f>IF($H58="-","-",(($K58/(-1.2+1)*((1/(1-$H58))^(-1.2+1)-1))))</f>
        <v>0</v>
      </c>
      <c r="O58" s="57"/>
    </row>
    <row r="59" spans="9:14" ht="16.5">
      <c r="I59" s="205"/>
      <c r="J59" s="206"/>
      <c r="K59" s="207"/>
      <c r="L59" s="208"/>
      <c r="M59" s="209"/>
      <c r="N59" s="209"/>
    </row>
    <row r="60" spans="1:14" ht="30" customHeight="1">
      <c r="A60" s="210" t="s">
        <v>243</v>
      </c>
      <c r="B60" s="210" t="s">
        <v>248</v>
      </c>
      <c r="C60" s="210"/>
      <c r="D60" s="210"/>
      <c r="E60" s="210"/>
      <c r="F60" s="211">
        <f>AVERAGE(F9:F58)</f>
        <v>0.17692307692307693</v>
      </c>
      <c r="G60" s="211">
        <f>AVERAGE(G9:G58)</f>
        <v>0.3564102564102565</v>
      </c>
      <c r="H60" s="211">
        <f>AVERAGE(H9:H58)</f>
        <v>0.2666666666666667</v>
      </c>
      <c r="I60" s="212">
        <f>AVERAGE(I9:I58)</f>
        <v>626.8819999999998</v>
      </c>
      <c r="J60" s="213">
        <f>AVERAGE(J9:J58)</f>
        <v>29850.76</v>
      </c>
      <c r="K60" s="214">
        <f>SUM(K9:K58)</f>
        <v>487587167.2</v>
      </c>
      <c r="L60" s="215">
        <f>SUM(L9:L58)</f>
        <v>26385770.639999997</v>
      </c>
      <c r="M60" s="216">
        <f>SUM(M9:M58)</f>
        <v>47562788.73454881</v>
      </c>
      <c r="N60" s="216">
        <f>SUM(N9:N58)</f>
        <v>37446286.7704429</v>
      </c>
    </row>
  </sheetData>
  <sheetProtection selectLockedCells="1" selectUnlockedCells="1"/>
  <mergeCells count="10">
    <mergeCell ref="A2:N2"/>
    <mergeCell ref="A3:N3"/>
    <mergeCell ref="P3:V3"/>
    <mergeCell ref="F4:H4"/>
    <mergeCell ref="I4:N4"/>
    <mergeCell ref="M5:N5"/>
    <mergeCell ref="U5:V5"/>
    <mergeCell ref="B6:D6"/>
    <mergeCell ref="E6:H6"/>
    <mergeCell ref="A60:E6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59"/>
  <sheetViews>
    <sheetView zoomScale="90" zoomScaleNormal="90" workbookViewId="0" topLeftCell="A31">
      <selection activeCell="A9" sqref="A9:A63"/>
    </sheetView>
  </sheetViews>
  <sheetFormatPr defaultColWidth="11.00390625" defaultRowHeight="12.75"/>
  <cols>
    <col min="1" max="1" width="10.75390625" style="1" customWidth="1"/>
    <col min="2" max="2" width="14.00390625" style="2" customWidth="1"/>
    <col min="3" max="3" width="40.75390625" style="3" customWidth="1"/>
    <col min="4" max="4" width="12.75390625" style="1" customWidth="1"/>
    <col min="5" max="5" width="11.75390625" style="4" customWidth="1"/>
    <col min="6" max="8" width="10.75390625" style="4" customWidth="1"/>
    <col min="9" max="9" width="14.625" style="1" customWidth="1"/>
    <col min="10" max="10" width="14.00390625" style="1" customWidth="1"/>
    <col min="11" max="11" width="16.875" style="5" customWidth="1"/>
    <col min="12" max="12" width="15.75390625" style="6" customWidth="1"/>
    <col min="13" max="14" width="15.75390625" style="7" customWidth="1"/>
    <col min="15" max="15" width="10.75390625" style="1" customWidth="1"/>
    <col min="16" max="16" width="12.375" style="1" customWidth="1"/>
    <col min="17" max="17" width="14.125" style="1" customWidth="1"/>
    <col min="18" max="18" width="24.75390625" style="1" customWidth="1"/>
    <col min="19" max="19" width="21.25390625" style="1" customWidth="1"/>
    <col min="20" max="20" width="14.125" style="1" customWidth="1"/>
    <col min="21" max="22" width="18.75390625" style="1" customWidth="1"/>
    <col min="23" max="245" width="10.75390625" style="1" customWidth="1"/>
    <col min="246" max="16384" width="10.75390625" style="0" customWidth="1"/>
  </cols>
  <sheetData>
    <row r="1" spans="2:14" s="8" customFormat="1" ht="12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36.75" customHeight="1">
      <c r="A2" s="9" t="s">
        <v>268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2" s="11" customFormat="1" ht="60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12" t="s">
        <v>2</v>
      </c>
      <c r="Q3" s="12"/>
      <c r="R3" s="12"/>
      <c r="S3" s="12"/>
      <c r="T3" s="12"/>
      <c r="U3" s="12"/>
      <c r="V3" s="12"/>
    </row>
    <row r="4" spans="6:246" ht="61.5" customHeight="1">
      <c r="F4" s="13" t="s">
        <v>3</v>
      </c>
      <c r="G4" s="13"/>
      <c r="H4" s="13"/>
      <c r="I4" s="14" t="s">
        <v>4</v>
      </c>
      <c r="J4" s="14"/>
      <c r="K4" s="14"/>
      <c r="L4" s="14"/>
      <c r="M4" s="14"/>
      <c r="N4" s="14"/>
      <c r="IL4" s="1"/>
    </row>
    <row r="5" spans="1:246" ht="78.75" customHeight="1">
      <c r="A5" s="15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8" t="s">
        <v>11</v>
      </c>
      <c r="H5" s="17" t="s">
        <v>12</v>
      </c>
      <c r="I5" s="19" t="s">
        <v>13</v>
      </c>
      <c r="J5" s="19" t="s">
        <v>14</v>
      </c>
      <c r="K5" s="20" t="s">
        <v>15</v>
      </c>
      <c r="L5" s="21" t="s">
        <v>16</v>
      </c>
      <c r="M5" s="22" t="s">
        <v>17</v>
      </c>
      <c r="N5" s="22"/>
      <c r="P5" s="16" t="s">
        <v>8</v>
      </c>
      <c r="Q5" s="23" t="s">
        <v>18</v>
      </c>
      <c r="R5" s="20" t="s">
        <v>15</v>
      </c>
      <c r="S5" s="21" t="s">
        <v>16</v>
      </c>
      <c r="T5" s="24" t="s">
        <v>19</v>
      </c>
      <c r="U5" s="22" t="s">
        <v>17</v>
      </c>
      <c r="V5" s="22"/>
      <c r="IL5" s="1"/>
    </row>
    <row r="6" spans="1:246" ht="47.25" customHeight="1">
      <c r="A6" s="25"/>
      <c r="B6" s="26" t="s">
        <v>20</v>
      </c>
      <c r="C6" s="26"/>
      <c r="D6" s="26"/>
      <c r="E6" s="27" t="s">
        <v>21</v>
      </c>
      <c r="F6" s="27"/>
      <c r="G6" s="27"/>
      <c r="H6" s="27"/>
      <c r="I6" s="28" t="s">
        <v>20</v>
      </c>
      <c r="J6" s="28" t="s">
        <v>22</v>
      </c>
      <c r="K6" s="29" t="s">
        <v>23</v>
      </c>
      <c r="L6" s="30" t="s">
        <v>24</v>
      </c>
      <c r="M6" s="31">
        <v>-0.8</v>
      </c>
      <c r="N6" s="31">
        <v>-1.2</v>
      </c>
      <c r="P6" s="32"/>
      <c r="Q6" s="33" t="s">
        <v>25</v>
      </c>
      <c r="R6" s="29" t="s">
        <v>23</v>
      </c>
      <c r="S6" s="30" t="s">
        <v>26</v>
      </c>
      <c r="T6" s="34" t="s">
        <v>27</v>
      </c>
      <c r="U6" s="31">
        <v>-0.8</v>
      </c>
      <c r="V6" s="31">
        <v>-1.2</v>
      </c>
      <c r="IL6" s="1"/>
    </row>
    <row r="7" spans="2:246" ht="27.75" customHeight="1">
      <c r="B7" s="35"/>
      <c r="C7" s="36"/>
      <c r="D7" s="37"/>
      <c r="E7" s="38"/>
      <c r="F7" s="39"/>
      <c r="G7" s="39"/>
      <c r="H7" s="39"/>
      <c r="I7" s="19" t="s">
        <v>28</v>
      </c>
      <c r="J7" s="19" t="s">
        <v>29</v>
      </c>
      <c r="K7" s="40" t="s">
        <v>30</v>
      </c>
      <c r="L7" s="41" t="s">
        <v>30</v>
      </c>
      <c r="M7" s="42" t="s">
        <v>30</v>
      </c>
      <c r="N7" s="42" t="s">
        <v>30</v>
      </c>
      <c r="P7" s="43"/>
      <c r="Q7" s="19"/>
      <c r="R7" s="40"/>
      <c r="S7" s="41"/>
      <c r="T7" s="44"/>
      <c r="U7" s="42"/>
      <c r="V7" s="42"/>
      <c r="IL7" s="1"/>
    </row>
    <row r="8" spans="2:246" ht="16.5">
      <c r="B8" s="35"/>
      <c r="C8" s="36"/>
      <c r="D8" s="37"/>
      <c r="E8" s="38"/>
      <c r="F8" s="39"/>
      <c r="G8" s="39"/>
      <c r="H8" s="39"/>
      <c r="I8" s="19"/>
      <c r="J8" s="19"/>
      <c r="K8" s="40"/>
      <c r="L8" s="41"/>
      <c r="M8" s="42"/>
      <c r="N8" s="42"/>
      <c r="P8" s="43"/>
      <c r="Q8" s="43"/>
      <c r="R8" s="40"/>
      <c r="S8" s="45"/>
      <c r="T8" s="44"/>
      <c r="U8" s="46"/>
      <c r="V8" s="46"/>
      <c r="IL8" s="1"/>
    </row>
    <row r="9" spans="1:22" ht="29.25">
      <c r="A9" s="47" t="s">
        <v>31</v>
      </c>
      <c r="B9" s="47" t="s">
        <v>32</v>
      </c>
      <c r="C9" s="48" t="s">
        <v>33</v>
      </c>
      <c r="D9" s="49" t="s">
        <v>34</v>
      </c>
      <c r="E9" s="50" t="s">
        <v>35</v>
      </c>
      <c r="F9" s="51">
        <v>0.4</v>
      </c>
      <c r="G9" s="51">
        <v>0.9</v>
      </c>
      <c r="H9" s="51">
        <v>0.65</v>
      </c>
      <c r="I9" s="52">
        <v>687.9</v>
      </c>
      <c r="J9" s="53">
        <v>2605</v>
      </c>
      <c r="K9" s="54">
        <f>IF(J9="-",0,I9*J9)</f>
        <v>1791979.5</v>
      </c>
      <c r="L9" s="55">
        <f>IF(H9="-","-",$K9*H9)</f>
        <v>1164786.675</v>
      </c>
      <c r="M9" s="56">
        <f>IF($H9="-","-",(($K9/(-0.8+1)*((1/(1-$H9))^(-0.8+1)-1))))</f>
        <v>2093338.238247136</v>
      </c>
      <c r="N9" s="56">
        <f>IF($H9="-","-",(($K9/(-1.2+1)*((1/(1-$H9))^(-1.2+1)-1))))</f>
        <v>1696887.3632744332</v>
      </c>
      <c r="O9" s="57"/>
      <c r="P9" s="58" t="s">
        <v>36</v>
      </c>
      <c r="Q9" s="59">
        <f>SUMIF($D$9:$D$57,$P9,$K$9:$K$57)/SUMIF($D$9:$D$57,$P9,$J$9:$J$57)</f>
        <v>221.47831410168925</v>
      </c>
      <c r="R9" s="217">
        <f>SUMIF($D$9:$D$57,$P9,$K$9:$K$57)</f>
        <v>50307248.7</v>
      </c>
      <c r="S9" s="218">
        <f>SUMIF($D$9:$D$57,$P9,$L$9:$L$57)</f>
        <v>0</v>
      </c>
      <c r="T9" s="62">
        <f>IF(R9=0,"-",S9/R9)</f>
        <v>0</v>
      </c>
      <c r="U9" s="219">
        <f>SUMIF($D$9:$D$57,$P9,$M$9:$M$57)</f>
        <v>0</v>
      </c>
      <c r="V9" s="219">
        <f>SUMIF($D$9:$D$57,$P9,$N$9:$N$57)</f>
        <v>0</v>
      </c>
    </row>
    <row r="10" spans="1:22" ht="16.5">
      <c r="A10" s="64" t="s">
        <v>37</v>
      </c>
      <c r="B10" s="64" t="s">
        <v>38</v>
      </c>
      <c r="C10" s="65" t="s">
        <v>39</v>
      </c>
      <c r="D10" s="66" t="s">
        <v>40</v>
      </c>
      <c r="E10" s="67" t="s">
        <v>35</v>
      </c>
      <c r="F10" s="68">
        <v>0.4</v>
      </c>
      <c r="G10" s="68">
        <v>0.9</v>
      </c>
      <c r="H10" s="68">
        <v>0.65</v>
      </c>
      <c r="I10" s="69">
        <v>342.2</v>
      </c>
      <c r="J10" s="70">
        <v>10665</v>
      </c>
      <c r="K10" s="71">
        <f>IF(J10="-",0,I10*J10)</f>
        <v>3649563</v>
      </c>
      <c r="L10" s="72">
        <f>IF(H10="-","-",K10*H10)</f>
        <v>2372215.95</v>
      </c>
      <c r="M10" s="73">
        <f>IF($H10="-","-",(($K10/(-0.8+1)*((1/(1-$H10))^(-0.8+1)-1))))</f>
        <v>4263313.157763206</v>
      </c>
      <c r="N10" s="73">
        <f>IF($H10="-","-",(($K10/(-1.2+1)*((1/(1-$H10))^(-1.2+1)-1))))</f>
        <v>3455897.423030749</v>
      </c>
      <c r="O10" s="57"/>
      <c r="P10" s="66" t="s">
        <v>40</v>
      </c>
      <c r="Q10" s="74">
        <f>SUMIF($D$9:$D$57,$P10,$K$9:$K$57)/SUMIF($D$9:$D$57,$P10,$J$9:$J$57)</f>
        <v>569.6592796938268</v>
      </c>
      <c r="R10" s="220">
        <f>SUMIF($D$9:$D$57,$P10,$K$9:$K$57)</f>
        <v>205259061.99999997</v>
      </c>
      <c r="S10" s="221">
        <f>SUMIF($D$9:$D$57,$P10,$L$9:$L$57)</f>
        <v>27469944.78</v>
      </c>
      <c r="T10" s="77">
        <f>IF(R10=0,"-",S10/R10)</f>
        <v>0.1338306066116584</v>
      </c>
      <c r="U10" s="222">
        <f>SUMIF($D$9:$D$57,$P10,$M$9:$M$57)</f>
        <v>49450359.14765845</v>
      </c>
      <c r="V10" s="222">
        <f>SUMIF($D$9:$D$57,$P10,$N$9:$N$57)</f>
        <v>40046699.598618954</v>
      </c>
    </row>
    <row r="11" spans="1:22" ht="29.25">
      <c r="A11" s="64" t="s">
        <v>41</v>
      </c>
      <c r="B11" s="64" t="s">
        <v>42</v>
      </c>
      <c r="C11" s="65" t="s">
        <v>43</v>
      </c>
      <c r="D11" s="66" t="s">
        <v>40</v>
      </c>
      <c r="E11" s="67" t="s">
        <v>35</v>
      </c>
      <c r="F11" s="68">
        <v>0.4</v>
      </c>
      <c r="G11" s="68">
        <v>0.9</v>
      </c>
      <c r="H11" s="68">
        <v>0.65</v>
      </c>
      <c r="I11" s="69">
        <v>745.8</v>
      </c>
      <c r="J11" s="70">
        <v>75</v>
      </c>
      <c r="K11" s="71">
        <f>IF(J11="-",0,I11*J11)</f>
        <v>55935</v>
      </c>
      <c r="L11" s="72">
        <f>IF(H11="-","-",K11*H11)</f>
        <v>36357.75</v>
      </c>
      <c r="M11" s="73">
        <f>IF($H11="-","-",(($K11/(-0.8+1)*((1/(1-$H11))^(-0.8+1)-1))))</f>
        <v>65341.637198613906</v>
      </c>
      <c r="N11" s="73">
        <f>IF($H11="-","-",(($K11/(-1.2+1)*((1/(1-$H11))^(-1.2+1)-1))))</f>
        <v>52966.785984301394</v>
      </c>
      <c r="O11" s="57"/>
      <c r="P11" s="79" t="s">
        <v>44</v>
      </c>
      <c r="Q11" s="80">
        <f>SUMIF($D$9:$D$57,$P11,$K$9:$K$57)/SUMIF($D$9:$D$57,$P11,$J$9:$J$57)</f>
        <v>386.121459036787</v>
      </c>
      <c r="R11" s="223">
        <f>SUMIF($D$9:$D$57,$P11,$K$9:$K$57)</f>
        <v>4345410.9</v>
      </c>
      <c r="S11" s="224">
        <f>SUMIF($D$9:$D$57,$P11,$L$9:$L$57)</f>
        <v>262713.675</v>
      </c>
      <c r="T11" s="83">
        <f>IF(R11=0,"-",S11/R11)</f>
        <v>0.06045772909530833</v>
      </c>
      <c r="U11" s="225">
        <f>SUMIF($D$9:$D$57,$P11,$M$9:$M$57)</f>
        <v>311178.2585909861</v>
      </c>
      <c r="V11" s="225">
        <f>SUMIF($D$9:$D$57,$P11,$N$9:$N$57)</f>
        <v>293779.5077222459</v>
      </c>
    </row>
    <row r="12" spans="1:22" ht="42.75">
      <c r="A12" s="85" t="s">
        <v>45</v>
      </c>
      <c r="B12" s="85" t="s">
        <v>46</v>
      </c>
      <c r="C12" s="86" t="s">
        <v>47</v>
      </c>
      <c r="D12" s="87" t="s">
        <v>48</v>
      </c>
      <c r="E12" s="88" t="s">
        <v>49</v>
      </c>
      <c r="F12" s="89" t="str">
        <f>IF(E12="No aumenta",0,IF(E12="Pequeña",0,IF(E12="Moderada",0.1,IF(E12="Grande",0.4,IF(E12="Esencial",0.9,"-")))))</f>
        <v>-</v>
      </c>
      <c r="G12" s="89" t="str">
        <f>IF(E12="No aumenta",0,IF(E12="Pequeña",0.1,IF(E12="Moderada",0.4,IF(E12="Grande",0.9,IF(E12="Esencial",1,"-")))))</f>
        <v>-</v>
      </c>
      <c r="H12" s="89" t="str">
        <f>IF(F12="-","-",AVERAGE(F12:G12))</f>
        <v>-</v>
      </c>
      <c r="I12" s="90">
        <v>661.2</v>
      </c>
      <c r="J12" s="91">
        <v>2950</v>
      </c>
      <c r="K12" s="92">
        <f>IF(J12="-",0,I12*J12)</f>
        <v>1950540.0000000002</v>
      </c>
      <c r="L12" s="93" t="str">
        <f>IF(H12="-","-",K12*H12)</f>
        <v>-</v>
      </c>
      <c r="M12" s="94" t="str">
        <f>IF($H12="-","-",(($K12/(-0.8+1)*((1/(1-$H12))^(-0.8+1)-1))))</f>
        <v>-</v>
      </c>
      <c r="N12" s="94" t="str">
        <f>IF($H12="-","-",(($K12/(-1.2+1)*((1/(1-$H12))^(-1.2+1)-1))))</f>
        <v>-</v>
      </c>
      <c r="O12" s="57"/>
      <c r="P12" s="95" t="s">
        <v>50</v>
      </c>
      <c r="Q12" s="96">
        <f>SUMIF($D$9:$D$57,$P12,$K$9:$K$57)/SUMIF($D$9:$D$57,$P12,$J$9:$J$57)</f>
        <v>745.0704384724187</v>
      </c>
      <c r="R12" s="226">
        <f>SUMIF($D$9:$D$57,$P12,$K$9:$K$57)</f>
        <v>526764.8</v>
      </c>
      <c r="S12" s="227">
        <f>SUMIF($D$9:$D$57,$P12,$L$9:$L$57)</f>
        <v>25180.905</v>
      </c>
      <c r="T12" s="99">
        <f>IF(R12=0,"-",S12/R12)</f>
        <v>0.047802937857654874</v>
      </c>
      <c r="U12" s="228">
        <f>SUMIF($D$9:$D$57,$P12,$M$9:$M$57)</f>
        <v>26821.268603388064</v>
      </c>
      <c r="V12" s="228">
        <f>SUMIF($D$9:$D$57,$P12,$N$9:$N$57)</f>
        <v>26245.26014586433</v>
      </c>
    </row>
    <row r="13" spans="1:22" ht="42.75">
      <c r="A13" s="85" t="s">
        <v>51</v>
      </c>
      <c r="B13" s="85" t="s">
        <v>52</v>
      </c>
      <c r="C13" s="86" t="s">
        <v>53</v>
      </c>
      <c r="D13" s="87" t="s">
        <v>48</v>
      </c>
      <c r="E13" s="88" t="s">
        <v>49</v>
      </c>
      <c r="F13" s="89" t="str">
        <f>IF(E13="No aumenta",0,IF(E13="Pequeña",0,IF(E13="Moderada",0.1,IF(E13="Grande",0.4,IF(E13="Esencial",0.9,"-")))))</f>
        <v>-</v>
      </c>
      <c r="G13" s="89" t="str">
        <f>IF(E13="No aumenta",0,IF(E13="Pequeña",0.1,IF(E13="Moderada",0.4,IF(E13="Grande",0.9,IF(E13="Esencial",1,"-")))))</f>
        <v>-</v>
      </c>
      <c r="H13" s="89" t="str">
        <f>IF(F13="-","-",AVERAGE(F13:G13))</f>
        <v>-</v>
      </c>
      <c r="I13" s="90">
        <v>1257.3</v>
      </c>
      <c r="J13" s="91">
        <v>173</v>
      </c>
      <c r="K13" s="92">
        <f>IF(J13="-",0,I13*J13)</f>
        <v>217512.9</v>
      </c>
      <c r="L13" s="93" t="str">
        <f>IF(H13="-","-",K13*H13)</f>
        <v>-</v>
      </c>
      <c r="M13" s="94" t="str">
        <f>IF($H13="-","-",(($K13/(-0.8+1)*((1/(1-$H13))^(-0.8+1)-1))))</f>
        <v>-</v>
      </c>
      <c r="N13" s="94" t="str">
        <f>IF($H13="-","-",(($K13/(-1.2+1)*((1/(1-$H13))^(-1.2+1)-1))))</f>
        <v>-</v>
      </c>
      <c r="O13" s="57"/>
      <c r="P13" s="101" t="s">
        <v>54</v>
      </c>
      <c r="Q13" s="102">
        <f>SUMIF($D$9:$D$57,$P13,$K$9:$K$57)/SUMIF($D$9:$D$57,$P13,$J$9:$J$57)</f>
        <v>212.7</v>
      </c>
      <c r="R13" s="229">
        <f>SUMIF($D$9:$D$57,$P13,$K$9:$K$57)</f>
        <v>20422390.5</v>
      </c>
      <c r="S13" s="230">
        <f>SUMIF($D$9:$D$57,$P13,$L$9:$L$57)</f>
        <v>0</v>
      </c>
      <c r="T13" s="105">
        <f>IF(R13=0,"-",S13/R13)</f>
        <v>0</v>
      </c>
      <c r="U13" s="231">
        <f>SUMIF($D$9:$D$57,$P13,$M$9:$M$57)</f>
        <v>0</v>
      </c>
      <c r="V13" s="231">
        <f>SUMIF($D$9:$D$57,$P13,$N$9:$N$57)</f>
        <v>0</v>
      </c>
    </row>
    <row r="14" spans="1:22" ht="16.5">
      <c r="A14" s="119" t="s">
        <v>65</v>
      </c>
      <c r="B14" s="119" t="s">
        <v>66</v>
      </c>
      <c r="C14" s="120" t="s">
        <v>67</v>
      </c>
      <c r="D14" s="121" t="s">
        <v>36</v>
      </c>
      <c r="E14" s="122" t="s">
        <v>68</v>
      </c>
      <c r="F14" s="123">
        <v>0</v>
      </c>
      <c r="G14" s="123">
        <v>0</v>
      </c>
      <c r="H14" s="123">
        <v>0</v>
      </c>
      <c r="I14" s="124">
        <v>194.8</v>
      </c>
      <c r="J14" s="125">
        <v>52409</v>
      </c>
      <c r="K14" s="126">
        <f>IF(J14="-",0,I14*J14)</f>
        <v>10209273.200000001</v>
      </c>
      <c r="L14" s="127">
        <f>IF(H14="-","-",K14*H14)</f>
        <v>0</v>
      </c>
      <c r="M14" s="128">
        <f>IF($H14="-","-",(($K14/(-0.8+1)*((1/(1-$H14))^(-0.8+1)-1))))</f>
        <v>0</v>
      </c>
      <c r="N14" s="128">
        <f>IF($H14="-","-",(($K14/(-1.2+1)*((1/(1-$H14))^(-1.2+1)-1))))</f>
        <v>0</v>
      </c>
      <c r="O14" s="57"/>
      <c r="P14" s="113" t="s">
        <v>64</v>
      </c>
      <c r="Q14" s="114">
        <f>SUMIF($D$9:$D$57,$P14,$K$9:$K$57)/SUMIF($D$9:$D$57,$P14,$J$9:$J$57)</f>
        <v>31.2</v>
      </c>
      <c r="R14" s="245">
        <f>SUMIF($D$9:$D$57,$P14,$K$9:$K$57)</f>
        <v>3801002.4</v>
      </c>
      <c r="S14" s="246">
        <f>SUMIF($D$9:$D$57,$P14,$L$9:$L$57)</f>
        <v>0</v>
      </c>
      <c r="T14" s="117">
        <f>IF(R14=0,"-",S14/R14)</f>
        <v>0</v>
      </c>
      <c r="U14" s="247">
        <f>SUMIF($D$9:$D$57,$P14,$M$9:$M$57)</f>
        <v>0</v>
      </c>
      <c r="V14" s="247">
        <f>SUMIF($D$9:$D$57,$P14,$N$9:$N$57)</f>
        <v>0</v>
      </c>
    </row>
    <row r="15" spans="1:22" ht="42.75">
      <c r="A15" s="134" t="s">
        <v>69</v>
      </c>
      <c r="B15" s="134" t="s">
        <v>70</v>
      </c>
      <c r="C15" s="135" t="s">
        <v>71</v>
      </c>
      <c r="D15" s="95" t="s">
        <v>50</v>
      </c>
      <c r="E15" s="136" t="s">
        <v>72</v>
      </c>
      <c r="F15" s="137">
        <v>0</v>
      </c>
      <c r="G15" s="137">
        <v>0.1</v>
      </c>
      <c r="H15" s="137">
        <v>0.05</v>
      </c>
      <c r="I15" s="138">
        <v>1857.6</v>
      </c>
      <c r="J15" s="139">
        <v>211</v>
      </c>
      <c r="K15" s="140">
        <f>IF(J15="-",0,I15*J15)</f>
        <v>391953.6</v>
      </c>
      <c r="L15" s="141">
        <f>IF(H15="-","-",K15*H15)</f>
        <v>19597.68</v>
      </c>
      <c r="M15" s="142">
        <f>IF($H15="-","-",(($K15/(-0.8+1)*((1/(1-$H15))^(-0.8+1)-1))))</f>
        <v>20208.068004592977</v>
      </c>
      <c r="N15" s="142">
        <f>IF($H15="-","-",(($K15/(-1.2+1)*((1/(1-$H15))^(-1.2+1)-1))))</f>
        <v>20001.820050853912</v>
      </c>
      <c r="O15" s="57"/>
      <c r="P15" s="49" t="s">
        <v>34</v>
      </c>
      <c r="Q15" s="129">
        <f>SUMIF($D$9:$D$57,$P15,$K$9:$K$57)/SUMIF($D$9:$D$57,$P15,$J$9:$J$57)</f>
        <v>802.8330750264178</v>
      </c>
      <c r="R15" s="232">
        <f>SUMIF($D$9:$D$57,$P15,$K$9:$K$57)</f>
        <v>2279243.1</v>
      </c>
      <c r="S15" s="233">
        <f>SUMIF($D$9:$D$57,$P15,$L$9:$L$57)</f>
        <v>1164786.675</v>
      </c>
      <c r="T15" s="132">
        <f>IF(R15=0,"-",S15/R15)</f>
        <v>0.5110410008480447</v>
      </c>
      <c r="U15" s="234">
        <f>SUMIF($D$9:$D$57,$P15,$M$9:$M$57)</f>
        <v>2093338.238247136</v>
      </c>
      <c r="V15" s="234">
        <f>SUMIF($D$9:$D$57,$P15,$N$9:$N$57)</f>
        <v>1696887.3632744332</v>
      </c>
    </row>
    <row r="16" spans="1:22" ht="29.25">
      <c r="A16" s="85" t="s">
        <v>73</v>
      </c>
      <c r="B16" s="85" t="s">
        <v>74</v>
      </c>
      <c r="C16" s="86" t="s">
        <v>75</v>
      </c>
      <c r="D16" s="87" t="s">
        <v>48</v>
      </c>
      <c r="E16" s="88" t="s">
        <v>72</v>
      </c>
      <c r="F16" s="89">
        <v>0</v>
      </c>
      <c r="G16" s="89">
        <v>0.1</v>
      </c>
      <c r="H16" s="89">
        <v>0.05</v>
      </c>
      <c r="I16" s="90">
        <v>1536</v>
      </c>
      <c r="J16" s="91">
        <v>15906</v>
      </c>
      <c r="K16" s="92">
        <f>IF(J16="-",0,I16*J16)</f>
        <v>24431616</v>
      </c>
      <c r="L16" s="93">
        <f>IF(H16="-","-",K16*H16)</f>
        <v>1221580.8</v>
      </c>
      <c r="M16" s="94">
        <f>IF($H16="-","-",(($K16/(-0.8+1)*((1/(1-$H16))^(-0.8+1)-1))))</f>
        <v>1259628.0722771825</v>
      </c>
      <c r="N16" s="94">
        <f>IF($H16="-","-",(($K16/(-1.2+1)*((1/(1-$H16))^(-1.2+1)-1))))</f>
        <v>1246772.0331783234</v>
      </c>
      <c r="O16" s="57"/>
      <c r="P16" s="87" t="s">
        <v>48</v>
      </c>
      <c r="Q16" s="143">
        <f>SUMIF($D$9:$D$57,$P16,$K$9:$K$57)/SUMIF($D$9:$D$57,$P16,$J$9:$J$57)</f>
        <v>904.7406803592754</v>
      </c>
      <c r="R16" s="235">
        <f>SUMIF($D$9:$D$57,$P16,$K$9:$K$57)</f>
        <v>145453349.7</v>
      </c>
      <c r="S16" s="236">
        <f>SUMIF($D$9:$D$57,$P16,$L$9:$L$57)</f>
        <v>2180143.7350000003</v>
      </c>
      <c r="T16" s="146">
        <f>IF(R16=0,"-",S16/R16)</f>
        <v>0.01498861139668893</v>
      </c>
      <c r="U16" s="237">
        <f>SUMIF($D$9:$D$57,$P16,$M$9:$M$57)</f>
        <v>3459240.123574771</v>
      </c>
      <c r="V16" s="237">
        <f>SUMIF($D$9:$D$57,$P16,$N$9:$N$57)</f>
        <v>2740801.1523072366</v>
      </c>
    </row>
    <row r="17" spans="1:22" ht="42.75">
      <c r="A17" s="134" t="s">
        <v>254</v>
      </c>
      <c r="B17" s="134" t="s">
        <v>77</v>
      </c>
      <c r="C17" s="135" t="s">
        <v>78</v>
      </c>
      <c r="D17" s="95" t="s">
        <v>50</v>
      </c>
      <c r="E17" s="136" t="s">
        <v>79</v>
      </c>
      <c r="F17" s="137">
        <v>0.1</v>
      </c>
      <c r="G17" s="137">
        <v>0.4</v>
      </c>
      <c r="H17" s="137">
        <v>0.25</v>
      </c>
      <c r="I17" s="138">
        <v>256.7</v>
      </c>
      <c r="J17" s="139">
        <v>87</v>
      </c>
      <c r="K17" s="140">
        <f>IF(J17="-",0,I17*J17)</f>
        <v>22332.899999999998</v>
      </c>
      <c r="L17" s="141">
        <f>IF(H17="-","-",K17*H17)</f>
        <v>5583.224999999999</v>
      </c>
      <c r="M17" s="142">
        <f>IF($H17="-","-",(($K17/(-0.8+1)*((1/(1-$H17))^(-0.8+1)-1))))</f>
        <v>6613.200598795088</v>
      </c>
      <c r="N17" s="142">
        <f>IF($H17="-","-",(($K17/(-1.2+1)*((1/(1-$H17))^(-1.2+1)-1))))</f>
        <v>6243.440095010418</v>
      </c>
      <c r="O17" s="57"/>
      <c r="P17" s="57"/>
      <c r="Q17" s="57"/>
      <c r="R17" s="238"/>
      <c r="S17" s="239"/>
      <c r="T17" s="150"/>
      <c r="U17" s="240"/>
      <c r="V17" s="240"/>
    </row>
    <row r="18" spans="1:22" ht="42.75">
      <c r="A18" s="85" t="s">
        <v>81</v>
      </c>
      <c r="B18" s="85" t="s">
        <v>82</v>
      </c>
      <c r="C18" s="86" t="s">
        <v>83</v>
      </c>
      <c r="D18" s="87" t="s">
        <v>48</v>
      </c>
      <c r="E18" s="88" t="s">
        <v>49</v>
      </c>
      <c r="F18" s="89" t="str">
        <f>IF(E18="No aumenta",0,IF(E18="Pequeña",0,IF(E18="Moderada",0.1,IF(E18="Grande",0.4,IF(E18="Esencial",0.9,"-")))))</f>
        <v>-</v>
      </c>
      <c r="G18" s="89" t="str">
        <f>IF(E18="No aumenta",0,IF(E18="Pequeña",0.1,IF(E18="Moderada",0.4,IF(E18="Grande",0.9,IF(E18="Esencial",1,"-")))))</f>
        <v>-</v>
      </c>
      <c r="H18" s="89" t="str">
        <f>IF(F18="-","-",AVERAGE(F18:G18))</f>
        <v>-</v>
      </c>
      <c r="I18" s="90">
        <v>247</v>
      </c>
      <c r="J18" s="91">
        <v>4550</v>
      </c>
      <c r="K18" s="92">
        <f>IF(J18="-",0,I18*J18)</f>
        <v>1123850</v>
      </c>
      <c r="L18" s="93" t="str">
        <f>IF(H18="-","-",K18*H18)</f>
        <v>-</v>
      </c>
      <c r="M18" s="94" t="str">
        <f>IF($H18="-","-",(($K18/(-0.8+1)*((1/(1-$H18))^(-0.8+1)-1))))</f>
        <v>-</v>
      </c>
      <c r="N18" s="94" t="str">
        <f>IF($H18="-","-",(($K18/(-1.2+1)*((1/(1-$H18))^(-1.2+1)-1))))</f>
        <v>-</v>
      </c>
      <c r="O18" s="57"/>
      <c r="P18" s="152" t="s">
        <v>80</v>
      </c>
      <c r="Q18" s="152"/>
      <c r="R18" s="241">
        <f>SUM(R9:R16)</f>
        <v>432394472.09999996</v>
      </c>
      <c r="S18" s="242">
        <f>SUM(S9:S16)</f>
        <v>31102769.770000003</v>
      </c>
      <c r="T18" s="155">
        <f>IF(R18=0,"-",S18/R18)</f>
        <v>0.07193146947264131</v>
      </c>
      <c r="U18" s="243">
        <f>SUM(U9:U16)</f>
        <v>55340937.03667473</v>
      </c>
      <c r="V18" s="243">
        <f>SUM(V9:V16)</f>
        <v>44804412.88206874</v>
      </c>
    </row>
    <row r="19" spans="1:15" ht="42.75">
      <c r="A19" s="85" t="s">
        <v>84</v>
      </c>
      <c r="B19" s="85" t="s">
        <v>85</v>
      </c>
      <c r="C19" s="86" t="s">
        <v>86</v>
      </c>
      <c r="D19" s="87" t="s">
        <v>48</v>
      </c>
      <c r="E19" s="88" t="s">
        <v>49</v>
      </c>
      <c r="F19" s="89" t="str">
        <f>IF(E19="No aumenta",0,IF(E19="Pequeña",0,IF(E19="Moderada",0.1,IF(E19="Grande",0.4,IF(E19="Esencial",0.9,"-")))))</f>
        <v>-</v>
      </c>
      <c r="G19" s="89" t="str">
        <f>IF(E19="No aumenta",0,IF(E19="Pequeña",0.1,IF(E19="Moderada",0.4,IF(E19="Grande",0.9,IF(E19="Esencial",1,"-")))))</f>
        <v>-</v>
      </c>
      <c r="H19" s="89" t="str">
        <f>IF(F19="-","-",AVERAGE(F19:G19))</f>
        <v>-</v>
      </c>
      <c r="I19" s="90">
        <v>283.4</v>
      </c>
      <c r="J19" s="91">
        <v>9720</v>
      </c>
      <c r="K19" s="92">
        <f>IF(J19="-",0,I19*J19)</f>
        <v>2754648</v>
      </c>
      <c r="L19" s="93" t="str">
        <f>IF(H19="-","-",K19*H19)</f>
        <v>-</v>
      </c>
      <c r="M19" s="94" t="str">
        <f>IF($H19="-","-",(($K19/(-0.8+1)*((1/(1-$H19))^(-0.8+1)-1))))</f>
        <v>-</v>
      </c>
      <c r="N19" s="94" t="str">
        <f>IF($H19="-","-",(($K19/(-1.2+1)*((1/(1-$H19))^(-1.2+1)-1))))</f>
        <v>-</v>
      </c>
      <c r="O19" s="57"/>
    </row>
    <row r="20" spans="1:15" ht="42.75">
      <c r="A20" s="85" t="s">
        <v>250</v>
      </c>
      <c r="B20" s="85" t="s">
        <v>88</v>
      </c>
      <c r="C20" s="86" t="s">
        <v>83</v>
      </c>
      <c r="D20" s="87" t="s">
        <v>48</v>
      </c>
      <c r="E20" s="88" t="s">
        <v>49</v>
      </c>
      <c r="F20" s="89" t="str">
        <f>IF(E20="No aumenta",0,IF(E20="Pequeña",0,IF(E20="Moderada",0.1,IF(E20="Grande",0.4,IF(E20="Esencial",0.9,"-")))))</f>
        <v>-</v>
      </c>
      <c r="G20" s="89" t="str">
        <f>IF(E20="No aumenta",0,IF(E20="Pequeña",0.1,IF(E20="Moderada",0.4,IF(E20="Grande",0.9,IF(E20="Esencial",1,"-")))))</f>
        <v>-</v>
      </c>
      <c r="H20" s="89" t="str">
        <f>IF(F20="-","-",AVERAGE(F20:G20))</f>
        <v>-</v>
      </c>
      <c r="I20" s="90">
        <v>325.3</v>
      </c>
      <c r="J20" s="91">
        <f>10550+2425</f>
        <v>12975</v>
      </c>
      <c r="K20" s="92">
        <f>IF(J20="-",0,I20*J20)</f>
        <v>4220767.5</v>
      </c>
      <c r="L20" s="93" t="str">
        <f>IF(H20="-","-",K20*H20)</f>
        <v>-</v>
      </c>
      <c r="M20" s="94" t="str">
        <f>IF($H20="-","-",(($K20/(-0.8+1)*((1/(1-$H20))^(-0.8+1)-1))))</f>
        <v>-</v>
      </c>
      <c r="N20" s="94" t="str">
        <f>IF($H20="-","-",(($K20/(-1.2+1)*((1/(1-$H20))^(-1.2+1)-1))))</f>
        <v>-</v>
      </c>
      <c r="O20" s="57"/>
    </row>
    <row r="21" spans="1:15" ht="29.25">
      <c r="A21" s="64" t="s">
        <v>246</v>
      </c>
      <c r="B21" s="64" t="s">
        <v>90</v>
      </c>
      <c r="C21" s="65" t="s">
        <v>91</v>
      </c>
      <c r="D21" s="66" t="s">
        <v>40</v>
      </c>
      <c r="E21" s="67" t="s">
        <v>35</v>
      </c>
      <c r="F21" s="68">
        <f>IF(E21="No aumenta",0,IF(E21="Pequeña",0,IF(E21="Moderada",0.1,IF(E21="Grande",0.4,IF(E21="Esencial",0.9,"-")))))</f>
        <v>0.4</v>
      </c>
      <c r="G21" s="68">
        <f>IF(E21="No aumenta",0,IF(E21="Pequeña",0.1,IF(E21="Moderada",0.4,IF(E21="Grande",0.9,IF(E21="Esencial",1,"-")))))</f>
        <v>0.9</v>
      </c>
      <c r="H21" s="68">
        <f>IF(F21="-","-",AVERAGE(F21:G21))</f>
        <v>0.65</v>
      </c>
      <c r="I21" s="69">
        <v>1344.2</v>
      </c>
      <c r="J21" s="70">
        <v>3529</v>
      </c>
      <c r="K21" s="71">
        <f>IF(J21="-",0,I21*J21)</f>
        <v>4743681.8</v>
      </c>
      <c r="L21" s="72">
        <f>IF(H21="-","-",K21*H21)</f>
        <v>3083393.17</v>
      </c>
      <c r="M21" s="73">
        <f>IF($H21="-","-",(($K21/(-0.8+1)*((1/(1-$H21))^(-0.8+1)-1))))</f>
        <v>5541430.860128145</v>
      </c>
      <c r="N21" s="73">
        <f>IF($H21="-","-",(($K21/(-1.2+1)*((1/(1-$H21))^(-1.2+1)-1))))</f>
        <v>4491956.354308136</v>
      </c>
      <c r="O21" s="57"/>
    </row>
    <row r="22" spans="1:15" ht="16.5">
      <c r="A22" s="134" t="s">
        <v>95</v>
      </c>
      <c r="B22" s="134" t="s">
        <v>96</v>
      </c>
      <c r="C22" s="135" t="s">
        <v>97</v>
      </c>
      <c r="D22" s="95" t="s">
        <v>50</v>
      </c>
      <c r="E22" s="136" t="s">
        <v>68</v>
      </c>
      <c r="F22" s="137">
        <v>0</v>
      </c>
      <c r="G22" s="137">
        <v>0</v>
      </c>
      <c r="H22" s="137">
        <v>0</v>
      </c>
      <c r="I22" s="138">
        <v>652.7</v>
      </c>
      <c r="J22" s="139">
        <v>49</v>
      </c>
      <c r="K22" s="140">
        <f>IF(J22="-",0,I22*J22)</f>
        <v>31982.300000000003</v>
      </c>
      <c r="L22" s="141">
        <f>IF(H22="-","-",K22*H22)</f>
        <v>0</v>
      </c>
      <c r="M22" s="142">
        <f>IF($H22="-","-",(($K22/(-0.8+1)*((1/(1-$H22))^(-0.8+1)-1))))</f>
        <v>0</v>
      </c>
      <c r="N22" s="142">
        <f>IF($H22="-","-",(($K22/(-1.2+1)*((1/(1-$H22))^(-1.2+1)-1))))</f>
        <v>0</v>
      </c>
      <c r="O22" s="57"/>
    </row>
    <row r="23" spans="1:15" ht="29.25">
      <c r="A23" s="85" t="s">
        <v>101</v>
      </c>
      <c r="B23" s="85" t="s">
        <v>102</v>
      </c>
      <c r="C23" s="86" t="s">
        <v>100</v>
      </c>
      <c r="D23" s="87" t="s">
        <v>48</v>
      </c>
      <c r="E23" s="88" t="s">
        <v>72</v>
      </c>
      <c r="F23" s="89">
        <v>0</v>
      </c>
      <c r="G23" s="89">
        <v>0.1</v>
      </c>
      <c r="H23" s="89">
        <v>0.05</v>
      </c>
      <c r="I23" s="90">
        <v>708.5</v>
      </c>
      <c r="J23" s="91">
        <f>4351+88</f>
        <v>4439</v>
      </c>
      <c r="K23" s="92">
        <f>IF(J23="-",0,I23*J23)</f>
        <v>3145031.5</v>
      </c>
      <c r="L23" s="93">
        <f>IF(H23="-","-",K23*H23)</f>
        <v>157251.575</v>
      </c>
      <c r="M23" s="94">
        <f>IF($H23="-","-",(($K23/(-0.8+1)*((1/(1-$H23))^(-0.8+1)-1))))</f>
        <v>162149.32182938763</v>
      </c>
      <c r="N23" s="94">
        <f>IF($H23="-","-",(($K23/(-1.2+1)*((1/(1-$H23))^(-1.2+1)-1))))</f>
        <v>160494.3904514901</v>
      </c>
      <c r="O23" s="57"/>
    </row>
    <row r="24" spans="1:15" ht="29.25">
      <c r="A24" s="64" t="s">
        <v>269</v>
      </c>
      <c r="B24" s="64" t="s">
        <v>270</v>
      </c>
      <c r="C24" s="65" t="s">
        <v>271</v>
      </c>
      <c r="D24" s="66" t="s">
        <v>40</v>
      </c>
      <c r="E24" s="67" t="s">
        <v>35</v>
      </c>
      <c r="F24" s="68">
        <f>IF(E24="No aumenta",0,IF(E24="Pequeña",0,IF(E24="Moderada",0.1,IF(E24="Grande",0.4,IF(E24="Esencial",0.9,"-")))))</f>
        <v>0.4</v>
      </c>
      <c r="G24" s="68">
        <f>IF(E24="No aumenta",0,IF(E24="Pequeña",0.1,IF(E24="Moderada",0.4,IF(E24="Grande",0.9,IF(E24="Esencial",1,"-")))))</f>
        <v>0.9</v>
      </c>
      <c r="H24" s="68">
        <f>IF(F24="-","-",AVERAGE(F24:G24))</f>
        <v>0.65</v>
      </c>
      <c r="I24" s="69">
        <v>0</v>
      </c>
      <c r="J24" s="70"/>
      <c r="K24" s="71">
        <f>IF(J24="-",0,I24*J24)</f>
        <v>0</v>
      </c>
      <c r="L24" s="72">
        <f>IF(H24="-","-",K24*H24)</f>
        <v>0</v>
      </c>
      <c r="M24" s="73">
        <f>IF($H24="-","-",(($K24/(-0.8+1)*((1/(1-$H24))^(-0.8+1)-1))))</f>
        <v>0</v>
      </c>
      <c r="N24" s="73">
        <f>IF($H24="-","-",(($K24/(-1.2+1)*((1/(1-$H24))^(-1.2+1)-1))))</f>
        <v>0</v>
      </c>
      <c r="O24" s="57"/>
    </row>
    <row r="25" spans="1:15" ht="29.25">
      <c r="A25" s="85" t="s">
        <v>103</v>
      </c>
      <c r="B25" s="85" t="s">
        <v>104</v>
      </c>
      <c r="C25" s="86" t="s">
        <v>105</v>
      </c>
      <c r="D25" s="87" t="s">
        <v>48</v>
      </c>
      <c r="E25" s="88" t="s">
        <v>35</v>
      </c>
      <c r="F25" s="89">
        <v>0.4</v>
      </c>
      <c r="G25" s="89">
        <v>0.9</v>
      </c>
      <c r="H25" s="89">
        <v>0.65</v>
      </c>
      <c r="I25" s="90">
        <v>371.5</v>
      </c>
      <c r="J25" s="91">
        <v>586</v>
      </c>
      <c r="K25" s="92">
        <f>IF(J25="-",0,I25*J25)</f>
        <v>217699</v>
      </c>
      <c r="L25" s="93">
        <f>IF(H25="-","-",K25*H25)</f>
        <v>141504.35</v>
      </c>
      <c r="M25" s="94">
        <f>IF($H25="-","-",(($K25/(-0.8+1)*((1/(1-$H25))^(-0.8+1)-1))))</f>
        <v>254309.62861358808</v>
      </c>
      <c r="N25" s="94">
        <f>IF($H25="-","-",(($K25/(-1.2+1)*((1/(1-$H25))^(-1.2+1)-1))))</f>
        <v>206146.71211220935</v>
      </c>
      <c r="O25" s="57"/>
    </row>
    <row r="26" spans="1:15" ht="29.25">
      <c r="A26" s="85" t="s">
        <v>106</v>
      </c>
      <c r="B26" s="85" t="s">
        <v>107</v>
      </c>
      <c r="C26" s="86" t="s">
        <v>108</v>
      </c>
      <c r="D26" s="87" t="s">
        <v>48</v>
      </c>
      <c r="E26" s="88" t="s">
        <v>79</v>
      </c>
      <c r="F26" s="89">
        <v>0.1</v>
      </c>
      <c r="G26" s="89">
        <v>0.4</v>
      </c>
      <c r="H26" s="89">
        <v>0.25</v>
      </c>
      <c r="I26" s="90">
        <v>524.4</v>
      </c>
      <c r="J26" s="91">
        <v>132</v>
      </c>
      <c r="K26" s="92">
        <f>IF(J26="-",0,I26*J26)</f>
        <v>69220.8</v>
      </c>
      <c r="L26" s="93">
        <f>IF(H26="-","-",K26*H26)</f>
        <v>17305.2</v>
      </c>
      <c r="M26" s="94">
        <f>IF($H26="-","-",(($K26/(-0.8+1)*((1/(1-$H26))^(-0.8+1)-1))))</f>
        <v>20497.608282358095</v>
      </c>
      <c r="N26" s="94">
        <f>IF($H26="-","-",(($K26/(-1.2+1)*((1/(1-$H26))^(-1.2+1)-1))))</f>
        <v>19351.535990789253</v>
      </c>
      <c r="O26" s="57"/>
    </row>
    <row r="27" spans="1:15" ht="16.5">
      <c r="A27" s="64" t="s">
        <v>109</v>
      </c>
      <c r="B27" s="64" t="s">
        <v>110</v>
      </c>
      <c r="C27" s="65" t="s">
        <v>111</v>
      </c>
      <c r="D27" s="66" t="s">
        <v>40</v>
      </c>
      <c r="E27" s="67" t="s">
        <v>79</v>
      </c>
      <c r="F27" s="68">
        <f>IF(E27="No aumenta",0,IF(E27="Pequeña",0,IF(E27="Moderada",0.1,IF(E27="Grande",0.4,IF(E27="Esencial",0.9,"-")))))</f>
        <v>0.1</v>
      </c>
      <c r="G27" s="68">
        <f>IF(E27="No aumenta",0,IF(E27="Pequeña",0.1,IF(E27="Moderada",0.4,IF(E27="Grande",0.9,IF(E27="Esencial",1,"-")))))</f>
        <v>0.4</v>
      </c>
      <c r="H27" s="68">
        <f>IF(F27="-","-",AVERAGE(F27:G27))</f>
        <v>0.25</v>
      </c>
      <c r="I27" s="69">
        <v>1167.4</v>
      </c>
      <c r="J27" s="70">
        <v>49</v>
      </c>
      <c r="K27" s="71">
        <f>IF(J27="-",0,I27*J27)</f>
        <v>57202.600000000006</v>
      </c>
      <c r="L27" s="72">
        <f>IF(H27="-","-",K27*H27)</f>
        <v>14300.650000000001</v>
      </c>
      <c r="M27" s="73">
        <f>IF($H27="-","-",(($K27/(-0.8+1)*((1/(1-$H27))^(-0.8+1)-1))))</f>
        <v>16938.788449893924</v>
      </c>
      <c r="N27" s="73">
        <f>IF($H27="-","-",(($K27/(-1.2+1)*((1/(1-$H27))^(-1.2+1)-1))))</f>
        <v>15991.698632011206</v>
      </c>
      <c r="O27" s="57"/>
    </row>
    <row r="28" spans="1:15" ht="42.75">
      <c r="A28" s="85" t="s">
        <v>112</v>
      </c>
      <c r="B28" s="85" t="s">
        <v>113</v>
      </c>
      <c r="C28" s="86" t="s">
        <v>114</v>
      </c>
      <c r="D28" s="87" t="s">
        <v>48</v>
      </c>
      <c r="E28" s="88" t="s">
        <v>62</v>
      </c>
      <c r="F28" s="89" t="s">
        <v>63</v>
      </c>
      <c r="G28" s="89" t="s">
        <v>63</v>
      </c>
      <c r="H28" s="89" t="s">
        <v>63</v>
      </c>
      <c r="I28" s="90">
        <v>1879.1</v>
      </c>
      <c r="J28" s="91">
        <v>52</v>
      </c>
      <c r="K28" s="92">
        <f>IF(J28="-",0,I28*J28)</f>
        <v>97713.2</v>
      </c>
      <c r="L28" s="93" t="str">
        <f>IF(H28="-","-",K28*H28)</f>
        <v>-</v>
      </c>
      <c r="M28" s="94" t="str">
        <f>IF($H28="-","-",(($K28/(-0.8+1)*((1/(1-$H28))^(-0.8+1)-1))))</f>
        <v>-</v>
      </c>
      <c r="N28" s="94" t="str">
        <f>IF($H28="-","-",(($K28/(-1.2+1)*((1/(1-$H28))^(-1.2+1)-1))))</f>
        <v>-</v>
      </c>
      <c r="O28" s="57"/>
    </row>
    <row r="29" spans="1:15" ht="16.5">
      <c r="A29" s="64" t="s">
        <v>118</v>
      </c>
      <c r="B29" s="64" t="s">
        <v>119</v>
      </c>
      <c r="C29" s="65" t="s">
        <v>120</v>
      </c>
      <c r="D29" s="66" t="s">
        <v>40</v>
      </c>
      <c r="E29" s="67" t="s">
        <v>68</v>
      </c>
      <c r="F29" s="68">
        <f>IF(E29="No aumenta",0,IF(E29="Pequeña",0,IF(E29="Moderada",0.1,IF(E29="Grande",0.4,IF(E29="Esencial",0.9,"-")))))</f>
        <v>0</v>
      </c>
      <c r="G29" s="68">
        <f>IF(E29="No aumenta",0,IF(E29="Pequeña",0.1,IF(E29="Moderada",0.4,IF(E29="Grande",0.9,IF(E29="Esencial",1,"-")))))</f>
        <v>0</v>
      </c>
      <c r="H29" s="68">
        <f>IF(F29="-","-",AVERAGE(F29:G29))</f>
        <v>0</v>
      </c>
      <c r="I29" s="69">
        <v>601</v>
      </c>
      <c r="J29" s="70">
        <f>271146+30</f>
        <v>271176</v>
      </c>
      <c r="K29" s="71">
        <f>IF(J29="-",0,I29*J29)</f>
        <v>162976776</v>
      </c>
      <c r="L29" s="72">
        <f>IF(H29="-","-",K29*H29)</f>
        <v>0</v>
      </c>
      <c r="M29" s="73">
        <f>IF($H29="-","-",(($K29/(-0.8+1)*((1/(1-$H29))^(-0.8+1)-1))))</f>
        <v>0</v>
      </c>
      <c r="N29" s="73">
        <f>IF($H29="-","-",(($K29/(-1.2+1)*((1/(1-$H29))^(-1.2+1)-1))))</f>
        <v>0</v>
      </c>
      <c r="O29" s="57"/>
    </row>
    <row r="30" spans="1:15" ht="29.25">
      <c r="A30" s="47" t="s">
        <v>121</v>
      </c>
      <c r="B30" s="47" t="s">
        <v>122</v>
      </c>
      <c r="C30" s="48" t="s">
        <v>123</v>
      </c>
      <c r="D30" s="49" t="s">
        <v>34</v>
      </c>
      <c r="E30" s="50" t="s">
        <v>68</v>
      </c>
      <c r="F30" s="51">
        <f>IF(E30="No aumenta",0,IF(E30="Pequeña",0,IF(E30="Moderada",0.1,IF(E30="Grande",0.4,IF(E30="Esencial",0.9,"-")))))</f>
        <v>0</v>
      </c>
      <c r="G30" s="51">
        <f>IF(E30="No aumenta",0,IF(E30="Pequeña",0.1,IF(E30="Moderada",0.4,IF(E30="Grande",0.9,IF(E30="Esencial",1,"-")))))</f>
        <v>0</v>
      </c>
      <c r="H30" s="51">
        <f>IF(F30="-","-",AVERAGE(F30:G30))</f>
        <v>0</v>
      </c>
      <c r="I30" s="157">
        <v>1668.3</v>
      </c>
      <c r="J30" s="158">
        <v>3</v>
      </c>
      <c r="K30" s="54">
        <f>IF(J30="-",0,I30*J30)</f>
        <v>5004.9</v>
      </c>
      <c r="L30" s="55">
        <f>IF(H30="-","-",K30*H30)</f>
        <v>0</v>
      </c>
      <c r="M30" s="56">
        <f>IF($H30="-","-",(($K30/(-0.8+1)*((1/(1-$H30))^(-0.8+1)-1))))</f>
        <v>0</v>
      </c>
      <c r="N30" s="56">
        <f>IF($H30="-","-",(($K30/(-1.2+1)*((1/(1-$H30))^(-1.2+1)-1))))</f>
        <v>0</v>
      </c>
      <c r="O30" s="57"/>
    </row>
    <row r="31" spans="1:15" ht="16.5">
      <c r="A31" s="119" t="s">
        <v>124</v>
      </c>
      <c r="B31" s="119" t="s">
        <v>125</v>
      </c>
      <c r="C31" s="169" t="s">
        <v>126</v>
      </c>
      <c r="D31" s="58" t="s">
        <v>36</v>
      </c>
      <c r="E31" s="170" t="s">
        <v>68</v>
      </c>
      <c r="F31" s="170">
        <f>IF(E31="No aumenta",0,IF(E31="Pequeña",0,IF(E31="Moderada",0.1,IF(E31="Grande",0.4,IF(E31="Esencial",0.9,"-")))))</f>
        <v>0</v>
      </c>
      <c r="G31" s="170">
        <f>IF(E31="No aumenta",0,IF(E31="Pequeña",0.1,IF(E31="Moderada",0.4,IF(E31="Grande",0.9,IF(E31="Esencial",1,"-")))))</f>
        <v>0</v>
      </c>
      <c r="H31" s="170">
        <f>IF(F31="-","-",AVERAGE(F31:G31))</f>
        <v>0</v>
      </c>
      <c r="I31" s="124">
        <v>3740</v>
      </c>
      <c r="J31" s="125">
        <v>11</v>
      </c>
      <c r="K31" s="126">
        <f>IF(J31="-",0,I31*J31)</f>
        <v>41140</v>
      </c>
      <c r="L31" s="127">
        <f>IF(H31="-","-",K31*H31)</f>
        <v>0</v>
      </c>
      <c r="M31" s="128">
        <f>IF($H31="-","-",(($K31/(-0.8+1)*((1/(1-$H31))^(-0.8+1)-1))))</f>
        <v>0</v>
      </c>
      <c r="N31" s="128">
        <f>IF($H31="-","-",(($K31/(-1.2+1)*((1/(1-$H31))^(-1.2+1)-1))))</f>
        <v>0</v>
      </c>
      <c r="O31" s="57"/>
    </row>
    <row r="32" spans="1:15" ht="16.5">
      <c r="A32" s="64" t="s">
        <v>127</v>
      </c>
      <c r="B32" s="64" t="s">
        <v>128</v>
      </c>
      <c r="C32" s="65" t="s">
        <v>129</v>
      </c>
      <c r="D32" s="171" t="s">
        <v>40</v>
      </c>
      <c r="E32" s="67" t="s">
        <v>130</v>
      </c>
      <c r="F32" s="68">
        <f>IF(E32="No aumenta",0,IF(E32="Pequeña",0,IF(E32="Moderada",0.1,IF(E32="Grande",0.4,IF(E32="Esencial",0.9,"-")))))</f>
        <v>0.9</v>
      </c>
      <c r="G32" s="68">
        <f>IF(E32="No aumenta",0,IF(E32="Pequeña",0.1,IF(E32="Moderada",0.4,IF(E32="Grande",0.9,IF(E32="Esencial",1,"-")))))</f>
        <v>1</v>
      </c>
      <c r="H32" s="68">
        <f>IF(F32="-","-",AVERAGE(F32:G32))</f>
        <v>0.95</v>
      </c>
      <c r="I32" s="69">
        <v>706</v>
      </c>
      <c r="J32" s="70">
        <v>54</v>
      </c>
      <c r="K32" s="71">
        <f>IF(J32="-",0,I32*J32)</f>
        <v>38124</v>
      </c>
      <c r="L32" s="72">
        <f>IF(H32="-","-",K32*H32)</f>
        <v>36217.799999999996</v>
      </c>
      <c r="M32" s="73">
        <f>IF($H32="-","-",(($K32/(-0.8+1)*((1/(1-$H32))^(-0.8+1)-1))))</f>
        <v>156415.94838083137</v>
      </c>
      <c r="N32" s="73">
        <f>IF($H32="-","-",(($K32/(-1.2+1)*((1/(1-$H32))^(-1.2+1)-1))))</f>
        <v>85916.1946174939</v>
      </c>
      <c r="O32" s="57"/>
    </row>
    <row r="33" spans="1:15" ht="42.75">
      <c r="A33" s="85" t="s">
        <v>137</v>
      </c>
      <c r="B33" s="85" t="s">
        <v>138</v>
      </c>
      <c r="C33" s="86" t="s">
        <v>139</v>
      </c>
      <c r="D33" s="87" t="s">
        <v>48</v>
      </c>
      <c r="E33" s="88" t="s">
        <v>49</v>
      </c>
      <c r="F33" s="89" t="str">
        <f>IF(E33="No aumenta",0,IF(E33="Pequeña",0,IF(E33="Moderada",0.1,IF(E33="Grande",0.4,IF(E33="Esencial",0.9,"-")))))</f>
        <v>-</v>
      </c>
      <c r="G33" s="89" t="str">
        <f>IF(E33="No aumenta",0,IF(E33="Pequeña",0.1,IF(E33="Moderada",0.4,IF(E33="Grande",0.9,IF(E33="Esencial",1,"-")))))</f>
        <v>-</v>
      </c>
      <c r="H33" s="89" t="str">
        <f>IF(F33="-","-",AVERAGE(F33:G33))</f>
        <v>-</v>
      </c>
      <c r="I33" s="90">
        <v>300</v>
      </c>
      <c r="J33" s="91">
        <v>3378</v>
      </c>
      <c r="K33" s="92">
        <f>IF(J33="-",0,I33*J33)</f>
        <v>1013400</v>
      </c>
      <c r="L33" s="93" t="str">
        <f>IF(H33="-","-",K33*H33)</f>
        <v>-</v>
      </c>
      <c r="M33" s="94" t="str">
        <f>IF($H33="-","-",(($K33/(-0.8+1)*((1/(1-$H33))^(-0.8+1)-1))))</f>
        <v>-</v>
      </c>
      <c r="N33" s="94" t="str">
        <f>IF($H33="-","-",(($K33/(-1.2+1)*((1/(1-$H33))^(-1.2+1)-1))))</f>
        <v>-</v>
      </c>
      <c r="O33" s="57"/>
    </row>
    <row r="34" spans="1:15" ht="16.5">
      <c r="A34" s="119" t="s">
        <v>143</v>
      </c>
      <c r="B34" s="119" t="s">
        <v>144</v>
      </c>
      <c r="C34" s="120" t="s">
        <v>145</v>
      </c>
      <c r="D34" s="121" t="s">
        <v>36</v>
      </c>
      <c r="E34" s="122" t="s">
        <v>68</v>
      </c>
      <c r="F34" s="123">
        <v>0</v>
      </c>
      <c r="G34" s="123">
        <v>0</v>
      </c>
      <c r="H34" s="123">
        <v>0</v>
      </c>
      <c r="I34" s="124">
        <v>216.9</v>
      </c>
      <c r="J34" s="125">
        <v>5643</v>
      </c>
      <c r="K34" s="126">
        <f>IF(J34="-",0,I34*J34)</f>
        <v>1223966.7</v>
      </c>
      <c r="L34" s="127">
        <f>IF(H34="-","-",K34*H34)</f>
        <v>0</v>
      </c>
      <c r="M34" s="128">
        <f>IF($H34="-","-",(($K34/(-0.8+1)*((1/(1-$H34))^(-0.8+1)-1))))</f>
        <v>0</v>
      </c>
      <c r="N34" s="128">
        <f>IF($H34="-","-",(($K34/(-1.2+1)*((1/(1-$H34))^(-1.2+1)-1))))</f>
        <v>0</v>
      </c>
      <c r="O34" s="57"/>
    </row>
    <row r="35" spans="1:15" ht="29.25">
      <c r="A35" s="85" t="s">
        <v>146</v>
      </c>
      <c r="B35" s="85" t="s">
        <v>147</v>
      </c>
      <c r="C35" s="86" t="s">
        <v>148</v>
      </c>
      <c r="D35" s="87" t="s">
        <v>48</v>
      </c>
      <c r="E35" s="88" t="s">
        <v>68</v>
      </c>
      <c r="F35" s="89">
        <f>IF(E35="No aumenta",0,IF(E35="Pequeña",0,IF(E35="Moderada",0.1,IF(E35="Grande",0.4,IF(E35="Esencial",0.9,"-")))))</f>
        <v>0</v>
      </c>
      <c r="G35" s="89">
        <f>IF(E35="No aumenta",0,IF(E35="Pequeña",0.1,IF(E35="Moderada",0.4,IF(E35="Grande",0.9,IF(E35="Esencial",1,"-")))))</f>
        <v>0</v>
      </c>
      <c r="H35" s="89">
        <f>IF(F35="-","-",AVERAGE(F35:G35))</f>
        <v>0</v>
      </c>
      <c r="I35" s="90">
        <v>1034.6</v>
      </c>
      <c r="J35" s="91">
        <f>71050+5264</f>
        <v>76314</v>
      </c>
      <c r="K35" s="92">
        <f>IF(J35="-",0,I35*J35)</f>
        <v>78954464.39999999</v>
      </c>
      <c r="L35" s="93">
        <f>IF(H35="-","-",K35*H35)</f>
        <v>0</v>
      </c>
      <c r="M35" s="94">
        <f>IF($H35="-","-",(($K35/(-0.8+1)*((1/(1-$H35))^(-0.8+1)-1))))</f>
        <v>0</v>
      </c>
      <c r="N35" s="94">
        <f>IF($H35="-","-",(($K35/(-1.2+1)*((1/(1-$H35))^(-1.2+1)-1))))</f>
        <v>0</v>
      </c>
      <c r="O35" s="57"/>
    </row>
    <row r="36" spans="1:15" ht="16.5">
      <c r="A36" s="119" t="s">
        <v>149</v>
      </c>
      <c r="B36" s="119" t="s">
        <v>150</v>
      </c>
      <c r="C36" s="120" t="s">
        <v>151</v>
      </c>
      <c r="D36" s="121" t="s">
        <v>36</v>
      </c>
      <c r="E36" s="122" t="s">
        <v>68</v>
      </c>
      <c r="F36" s="123">
        <v>0</v>
      </c>
      <c r="G36" s="123">
        <v>0</v>
      </c>
      <c r="H36" s="123">
        <v>0</v>
      </c>
      <c r="I36" s="124">
        <v>181.5</v>
      </c>
      <c r="J36" s="125">
        <v>1037</v>
      </c>
      <c r="K36" s="126">
        <f>IF(J36="-",0,I36*J36)</f>
        <v>188215.5</v>
      </c>
      <c r="L36" s="127">
        <f>IF(H36="-","-",K36*H36)</f>
        <v>0</v>
      </c>
      <c r="M36" s="128">
        <f>IF($H36="-","-",(($K36/(-0.8+1)*((1/(1-$H36))^(-0.8+1)-1))))</f>
        <v>0</v>
      </c>
      <c r="N36" s="128">
        <f>IF($H36="-","-",(($K36/(-1.2+1)*((1/(1-$H36))^(-1.2+1)-1))))</f>
        <v>0</v>
      </c>
      <c r="O36" s="57"/>
    </row>
    <row r="37" spans="1:15" ht="16.5">
      <c r="A37" s="174" t="s">
        <v>152</v>
      </c>
      <c r="B37" s="174" t="s">
        <v>153</v>
      </c>
      <c r="C37" s="175" t="s">
        <v>154</v>
      </c>
      <c r="D37" s="79" t="s">
        <v>44</v>
      </c>
      <c r="E37" s="176" t="s">
        <v>68</v>
      </c>
      <c r="F37" s="177">
        <f>IF(E37="No aumenta",0,IF(E37="Pequeña",0,IF(E37="Moderada",0.1,IF(E37="Grande",0.4,IF(E37="Esencial",0.9,"-")))))</f>
        <v>0</v>
      </c>
      <c r="G37" s="177">
        <f>IF(E37="No aumenta",0,IF(E37="Pequeña",0.1,IF(E37="Moderada",0.4,IF(E37="Grande",0.9,IF(E37="Esencial",1,"-")))))</f>
        <v>0</v>
      </c>
      <c r="H37" s="177">
        <f>IF(F37="-","-",AVERAGE(F37:G37))</f>
        <v>0</v>
      </c>
      <c r="I37" s="178">
        <v>396.6</v>
      </c>
      <c r="J37" s="179">
        <v>8307</v>
      </c>
      <c r="K37" s="180">
        <f>IF(J37="-",0,I37*J37)</f>
        <v>3294556.2</v>
      </c>
      <c r="L37" s="181">
        <f>IF(H37="-","-",K37*H37)</f>
        <v>0</v>
      </c>
      <c r="M37" s="182">
        <f>IF($H37="-","-",(($K37/(-0.8+1)*((1/(1-$H37))^(-0.8+1)-1))))</f>
        <v>0</v>
      </c>
      <c r="N37" s="182">
        <f>IF($H37="-","-",(($K37/(-1.2+1)*((1/(1-$H37))^(-1.2+1)-1))))</f>
        <v>0</v>
      </c>
      <c r="O37" s="57"/>
    </row>
    <row r="38" spans="1:15" ht="42.75">
      <c r="A38" s="85" t="s">
        <v>158</v>
      </c>
      <c r="B38" s="85" t="s">
        <v>159</v>
      </c>
      <c r="C38" s="86" t="s">
        <v>157</v>
      </c>
      <c r="D38" s="87" t="s">
        <v>48</v>
      </c>
      <c r="E38" s="88" t="s">
        <v>49</v>
      </c>
      <c r="F38" s="89" t="s">
        <v>63</v>
      </c>
      <c r="G38" s="89" t="s">
        <v>63</v>
      </c>
      <c r="H38" s="89" t="s">
        <v>63</v>
      </c>
      <c r="I38" s="90">
        <v>174.9</v>
      </c>
      <c r="J38" s="91">
        <v>3472</v>
      </c>
      <c r="K38" s="92">
        <f>IF(J38="-",0,I38*J38)</f>
        <v>607252.8</v>
      </c>
      <c r="L38" s="93" t="str">
        <f>IF(H38="-","-",K38*H38)</f>
        <v>-</v>
      </c>
      <c r="M38" s="94" t="str">
        <f>IF($H38="-","-",(($K38/(-0.8+1)*((1/(1-$H38))^(-0.8+1)-1))))</f>
        <v>-</v>
      </c>
      <c r="N38" s="94" t="str">
        <f>IF($H38="-","-",(($K38/(-1.2+1)*((1/(1-$H38))^(-1.2+1)-1))))</f>
        <v>-</v>
      </c>
      <c r="O38" s="57"/>
    </row>
    <row r="39" spans="1:15" ht="42.75">
      <c r="A39" s="64" t="s">
        <v>166</v>
      </c>
      <c r="B39" s="64" t="s">
        <v>167</v>
      </c>
      <c r="C39" s="65" t="s">
        <v>168</v>
      </c>
      <c r="D39" s="66" t="s">
        <v>40</v>
      </c>
      <c r="E39" s="67" t="s">
        <v>35</v>
      </c>
      <c r="F39" s="68">
        <v>0.4</v>
      </c>
      <c r="G39" s="68">
        <v>0.9</v>
      </c>
      <c r="H39" s="68">
        <v>0.65</v>
      </c>
      <c r="I39" s="69">
        <v>532.1</v>
      </c>
      <c r="J39" s="70">
        <f>14078+2089</f>
        <v>16167</v>
      </c>
      <c r="K39" s="71">
        <f>IF(J39="-",0,I39*J39)</f>
        <v>8602460.700000001</v>
      </c>
      <c r="L39" s="72">
        <f>IF(H39="-","-",K39*H39)</f>
        <v>5591599.455000001</v>
      </c>
      <c r="M39" s="73">
        <f>IF($H39="-","-",(($K39/(-0.8+1)*((1/(1-$H39))^(-0.8+1)-1))))</f>
        <v>10049143.936260557</v>
      </c>
      <c r="N39" s="73">
        <f>IF($H39="-","-",(($K39/(-1.2+1)*((1/(1-$H39))^(-1.2+1)-1))))</f>
        <v>8145967.54867728</v>
      </c>
      <c r="O39" s="57"/>
    </row>
    <row r="40" spans="1:15" ht="16.5">
      <c r="A40" s="64" t="s">
        <v>169</v>
      </c>
      <c r="B40" s="64" t="s">
        <v>170</v>
      </c>
      <c r="C40" s="65" t="s">
        <v>171</v>
      </c>
      <c r="D40" s="66" t="s">
        <v>40</v>
      </c>
      <c r="E40" s="67" t="s">
        <v>35</v>
      </c>
      <c r="F40" s="68">
        <v>0.4</v>
      </c>
      <c r="G40" s="68">
        <v>0.9</v>
      </c>
      <c r="H40" s="68">
        <v>0.65</v>
      </c>
      <c r="I40" s="69">
        <v>427.4</v>
      </c>
      <c r="J40" s="70">
        <v>56613</v>
      </c>
      <c r="K40" s="71">
        <f>IF(J40="-",0,I40*J40)</f>
        <v>24196396.2</v>
      </c>
      <c r="L40" s="72">
        <f>IF(H40="-","-",K40*H40)</f>
        <v>15727657.53</v>
      </c>
      <c r="M40" s="73">
        <f>IF($H40="-","-",(($K40/(-0.8+1)*((1/(1-$H40))^(-0.8+1)-1))))</f>
        <v>28265525.020368647</v>
      </c>
      <c r="N40" s="73">
        <f>IF($H40="-","-",(($K40/(-1.2+1)*((1/(1-$H40))^(-1.2+1)-1))))</f>
        <v>22912404.38217151</v>
      </c>
      <c r="O40" s="57"/>
    </row>
    <row r="41" spans="1:15" ht="29.25">
      <c r="A41" s="134" t="s">
        <v>172</v>
      </c>
      <c r="B41" s="134" t="s">
        <v>173</v>
      </c>
      <c r="C41" s="135" t="s">
        <v>174</v>
      </c>
      <c r="D41" s="95" t="s">
        <v>50</v>
      </c>
      <c r="E41" s="136" t="s">
        <v>68</v>
      </c>
      <c r="F41" s="137">
        <f>IF(E41="No aumenta",0,IF(E41="Pequeña",0,IF(E41="Moderada",0.1,IF(E41="Grande",0.4,IF(E41="Esencial",0.9,"-")))))</f>
        <v>0</v>
      </c>
      <c r="G41" s="137">
        <f>IF(E41="No aumenta",0,IF(E41="Pequeña",0.1,IF(E41="Moderada",0.4,IF(E41="Grande",0.9,IF(E41="Esencial",1,"-")))))</f>
        <v>0</v>
      </c>
      <c r="H41" s="137">
        <f>IF(F41="-","-",AVERAGE(F41:G41))</f>
        <v>0</v>
      </c>
      <c r="I41" s="138">
        <v>223.6</v>
      </c>
      <c r="J41" s="139">
        <v>360</v>
      </c>
      <c r="K41" s="140">
        <f>IF(J41="-",0,I41*J41)</f>
        <v>80496</v>
      </c>
      <c r="L41" s="141">
        <f>IF(H41="-","-",K41*H41)</f>
        <v>0</v>
      </c>
      <c r="M41" s="142">
        <f>IF($H41="-","-",(($K41/(-0.8+1)*((1/(1-$H41))^(-0.8+1)-1))))</f>
        <v>0</v>
      </c>
      <c r="N41" s="142">
        <f>IF($H41="-","-",(($K41/(-1.2+1)*((1/(1-$H41))^(-1.2+1)-1))))</f>
        <v>0</v>
      </c>
      <c r="O41" s="57"/>
    </row>
    <row r="42" spans="1:15" ht="29.25">
      <c r="A42" s="85" t="s">
        <v>175</v>
      </c>
      <c r="B42" s="85" t="s">
        <v>176</v>
      </c>
      <c r="C42" s="86" t="s">
        <v>174</v>
      </c>
      <c r="D42" s="87" t="s">
        <v>48</v>
      </c>
      <c r="E42" s="88" t="s">
        <v>68</v>
      </c>
      <c r="F42" s="89">
        <f>IF(E42="No aumenta",0,IF(E42="Pequeña",0,IF(E42="Moderada",0.1,IF(E42="Grande",0.4,IF(E42="Esencial",0.9,"-")))))</f>
        <v>0</v>
      </c>
      <c r="G42" s="89">
        <f>IF(E42="No aumenta",0,IF(E42="Pequeña",0.1,IF(E42="Moderada",0.4,IF(E42="Grande",0.9,IF(E42="Esencial",1,"-")))))</f>
        <v>0</v>
      </c>
      <c r="H42" s="89">
        <f>IF(F42="-","-",AVERAGE(F42:G42))</f>
        <v>0</v>
      </c>
      <c r="I42" s="90">
        <v>1847.6</v>
      </c>
      <c r="J42" s="91">
        <v>10834</v>
      </c>
      <c r="K42" s="92">
        <f>IF(J42="-",0,I42*J42)</f>
        <v>20016898.4</v>
      </c>
      <c r="L42" s="93">
        <f>IF(H42="-","-",K42*H42)</f>
        <v>0</v>
      </c>
      <c r="M42" s="94">
        <f>IF($H42="-","-",(($K42/(-0.8+1)*((1/(1-$H42))^(-0.8+1)-1))))</f>
        <v>0</v>
      </c>
      <c r="N42" s="94">
        <f>IF($H42="-","-",(($K42/(-1.2+1)*((1/(1-$H42))^(-1.2+1)-1))))</f>
        <v>0</v>
      </c>
      <c r="O42" s="57"/>
    </row>
    <row r="43" spans="1:15" ht="29.25">
      <c r="A43" s="64" t="s">
        <v>177</v>
      </c>
      <c r="B43" s="64" t="s">
        <v>178</v>
      </c>
      <c r="C43" s="65" t="s">
        <v>179</v>
      </c>
      <c r="D43" s="66" t="s">
        <v>40</v>
      </c>
      <c r="E43" s="67" t="s">
        <v>35</v>
      </c>
      <c r="F43" s="68">
        <v>0.4</v>
      </c>
      <c r="G43" s="68">
        <v>0.9</v>
      </c>
      <c r="H43" s="68">
        <v>0.65</v>
      </c>
      <c r="I43" s="69">
        <v>471.3</v>
      </c>
      <c r="J43" s="70">
        <v>1969</v>
      </c>
      <c r="K43" s="71">
        <f>IF(J43="-",0,I43*J43)</f>
        <v>927989.7000000001</v>
      </c>
      <c r="L43" s="72">
        <f>IF(H43="-","-",K43*H43)</f>
        <v>603193.305</v>
      </c>
      <c r="M43" s="73">
        <f>IF($H43="-","-",(($K43/(-0.8+1)*((1/(1-$H43))^(-0.8+1)-1))))</f>
        <v>1084050.5283177001</v>
      </c>
      <c r="N43" s="73">
        <f>IF($H43="-","-",(($K43/(-1.2+1)*((1/(1-$H43))^(-1.2+1)-1))))</f>
        <v>878745.5409946555</v>
      </c>
      <c r="O43" s="57"/>
    </row>
    <row r="44" spans="1:15" ht="42.75">
      <c r="A44" s="183" t="s">
        <v>180</v>
      </c>
      <c r="B44" s="183" t="s">
        <v>181</v>
      </c>
      <c r="C44" s="184" t="s">
        <v>182</v>
      </c>
      <c r="D44" s="101" t="s">
        <v>54</v>
      </c>
      <c r="E44" s="185" t="s">
        <v>62</v>
      </c>
      <c r="F44" s="186" t="s">
        <v>63</v>
      </c>
      <c r="G44" s="186" t="s">
        <v>63</v>
      </c>
      <c r="H44" s="186" t="s">
        <v>63</v>
      </c>
      <c r="I44" s="187">
        <v>212.7</v>
      </c>
      <c r="J44" s="188">
        <v>96015</v>
      </c>
      <c r="K44" s="189">
        <f>IF(J44="-",0,I44*J44)</f>
        <v>20422390.5</v>
      </c>
      <c r="L44" s="190" t="str">
        <f>IF(H44="-","-",K44*H44)</f>
        <v>-</v>
      </c>
      <c r="M44" s="191" t="str">
        <f>IF($H44="-","-",(($K44/(-0.8+1)*((1/(1-$H44))^(-0.8+1)-1))))</f>
        <v>-</v>
      </c>
      <c r="N44" s="191" t="str">
        <f>IF($H44="-","-",(($K44/(-1.2+1)*((1/(1-$H44))^(-1.2+1)-1))))</f>
        <v>-</v>
      </c>
      <c r="O44" s="57"/>
    </row>
    <row r="45" spans="1:15" ht="56.25">
      <c r="A45" s="85" t="s">
        <v>183</v>
      </c>
      <c r="B45" s="85" t="s">
        <v>184</v>
      </c>
      <c r="C45" s="86" t="s">
        <v>185</v>
      </c>
      <c r="D45" s="87" t="s">
        <v>48</v>
      </c>
      <c r="E45" s="88" t="s">
        <v>130</v>
      </c>
      <c r="F45" s="89">
        <f>IF(E45="No aumenta",0,IF(E45="Pequeña",0,IF(E45="Moderada",0.1,IF(E45="Grande",0.4,IF(E45="Esencial",0.9,"-")))))</f>
        <v>0.9</v>
      </c>
      <c r="G45" s="89">
        <f>IF(E45="No aumenta",0,IF(E45="Pequeña",0.1,IF(E45="Moderada",0.4,IF(E45="Grande",0.9,IF(E45="Esencial",1,"-")))))</f>
        <v>1</v>
      </c>
      <c r="H45" s="89">
        <f>IF(F45="-","-",AVERAGE(F45:G45))</f>
        <v>0.95</v>
      </c>
      <c r="I45" s="90">
        <v>333.5</v>
      </c>
      <c r="J45" s="91">
        <f>125+894</f>
        <v>1019</v>
      </c>
      <c r="K45" s="92">
        <f>IF(J45="-",0,I45*J45)</f>
        <v>339836.5</v>
      </c>
      <c r="L45" s="93">
        <f>IF(H45="-","-",K45*H45)</f>
        <v>322844.675</v>
      </c>
      <c r="M45" s="94">
        <f>IF($H45="-","-",(($K45/(-0.8+1)*((1/(1-$H45))^(-0.8+1)-1))))</f>
        <v>1394288.3339083623</v>
      </c>
      <c r="N45" s="94">
        <f>IF($H45="-","-",(($K45/(-1.2+1)*((1/(1-$H45))^(-1.2+1)-1))))</f>
        <v>765855.0748118762</v>
      </c>
      <c r="O45" s="57"/>
    </row>
    <row r="46" spans="1:15" ht="16.5">
      <c r="A46" s="64" t="s">
        <v>186</v>
      </c>
      <c r="B46" s="64" t="s">
        <v>187</v>
      </c>
      <c r="C46" s="192" t="s">
        <v>188</v>
      </c>
      <c r="D46" s="66" t="s">
        <v>40</v>
      </c>
      <c r="E46" s="67" t="s">
        <v>35</v>
      </c>
      <c r="F46" s="68">
        <v>0.4</v>
      </c>
      <c r="G46" s="68">
        <v>0.9</v>
      </c>
      <c r="H46" s="68">
        <v>0.65</v>
      </c>
      <c r="I46" s="69">
        <v>316.1</v>
      </c>
      <c r="J46" s="70">
        <v>18</v>
      </c>
      <c r="K46" s="71">
        <f>IF(J46="-",0,I46*J46)</f>
        <v>5689.8</v>
      </c>
      <c r="L46" s="72">
        <f>IF(H46="-","-",K46*H46)</f>
        <v>3698.3700000000003</v>
      </c>
      <c r="M46" s="73">
        <f>IF($H46="-","-",(($K46/(-0.8+1)*((1/(1-$H46))^(-0.8+1)-1))))</f>
        <v>6646.658573928192</v>
      </c>
      <c r="N46" s="73">
        <f>IF($H46="-","-",(($K46/(-1.2+1)*((1/(1-$H46))^(-1.2+1)-1))))</f>
        <v>5387.868398917995</v>
      </c>
      <c r="O46" s="57"/>
    </row>
    <row r="47" spans="1:15" ht="16.5">
      <c r="A47" s="174" t="s">
        <v>189</v>
      </c>
      <c r="B47" s="174" t="s">
        <v>190</v>
      </c>
      <c r="C47" s="193" t="s">
        <v>191</v>
      </c>
      <c r="D47" s="79" t="s">
        <v>44</v>
      </c>
      <c r="E47" s="176" t="s">
        <v>79</v>
      </c>
      <c r="F47" s="177">
        <f>IF(E47="No aumenta",0,IF(E47="Pequeña",0,IF(E47="Moderada",0.1,IF(E47="Grande",0.4,IF(E47="Esencial",0.9,"-")))))</f>
        <v>0.1</v>
      </c>
      <c r="G47" s="177">
        <f>IF(E47="No aumenta",0,IF(E47="Pequeña",0.1,IF(E47="Moderada",0.4,IF(E47="Grande",0.9,IF(E47="Esencial",1,"-")))))</f>
        <v>0.4</v>
      </c>
      <c r="H47" s="177">
        <f>IF(F47="-","-",AVERAGE(F47:G47))</f>
        <v>0.25</v>
      </c>
      <c r="I47" s="178">
        <v>283.3</v>
      </c>
      <c r="J47" s="179">
        <v>715</v>
      </c>
      <c r="K47" s="180">
        <f>IF(J47="-",0,I47*J47)</f>
        <v>202559.5</v>
      </c>
      <c r="L47" s="181">
        <f>IF(H47="-","-",K47*H47)</f>
        <v>50639.875</v>
      </c>
      <c r="M47" s="182">
        <f>IF($H47="-","-",(($K47/(-0.8+1)*((1/(1-$H47))^(-0.8+1)-1))))</f>
        <v>59981.758154634364</v>
      </c>
      <c r="N47" s="182">
        <f>IF($H47="-","-",(($K47/(-1.2+1)*((1/(1-$H47))^(-1.2+1)-1))))</f>
        <v>56628.02877930152</v>
      </c>
      <c r="O47" s="57"/>
    </row>
    <row r="48" spans="1:15" ht="16.5">
      <c r="A48" s="119" t="s">
        <v>198</v>
      </c>
      <c r="B48" s="119" t="s">
        <v>199</v>
      </c>
      <c r="C48" s="120" t="s">
        <v>200</v>
      </c>
      <c r="D48" s="121" t="s">
        <v>36</v>
      </c>
      <c r="E48" s="122" t="s">
        <v>68</v>
      </c>
      <c r="F48" s="123">
        <f>IF(E48="No aumenta",0,IF(E48="Pequeña",0,IF(E48="Moderada",0.1,IF(E48="Grande",0.4,IF(E48="Esencial",0.9,"-")))))</f>
        <v>0</v>
      </c>
      <c r="G48" s="123">
        <f>IF(E48="No aumenta",0,IF(E48="Pequeña",0.1,IF(E48="Moderada",0.4,IF(E48="Grande",0.9,IF(E48="Esencial",1,"-")))))</f>
        <v>0</v>
      </c>
      <c r="H48" s="123">
        <f>IF(F48="-","-",AVERAGE(F48:G48))</f>
        <v>0</v>
      </c>
      <c r="I48" s="124">
        <v>183.6</v>
      </c>
      <c r="J48" s="125">
        <v>474</v>
      </c>
      <c r="K48" s="126">
        <f>IF(J48="-",0,I48*J48)</f>
        <v>87026.4</v>
      </c>
      <c r="L48" s="127">
        <f>IF(H48="-","-",K48*H48)</f>
        <v>0</v>
      </c>
      <c r="M48" s="128">
        <f>IF($H48="-","-",(($K48/(-0.8+1)*((1/(1-$H48))^(-0.8+1)-1))))</f>
        <v>0</v>
      </c>
      <c r="N48" s="128">
        <f>IF($H48="-","-",(($K48/(-1.2+1)*((1/(1-$H48))^(-1.2+1)-1))))</f>
        <v>0</v>
      </c>
      <c r="O48" s="57"/>
    </row>
    <row r="49" spans="1:15" ht="16.5">
      <c r="A49" s="174" t="s">
        <v>210</v>
      </c>
      <c r="B49" s="174" t="s">
        <v>211</v>
      </c>
      <c r="C49" s="175" t="s">
        <v>212</v>
      </c>
      <c r="D49" s="79" t="s">
        <v>44</v>
      </c>
      <c r="E49" s="176" t="s">
        <v>79</v>
      </c>
      <c r="F49" s="177">
        <v>0.1</v>
      </c>
      <c r="G49" s="177">
        <v>0.4</v>
      </c>
      <c r="H49" s="177">
        <v>0.25</v>
      </c>
      <c r="I49" s="178">
        <v>336.1</v>
      </c>
      <c r="J49" s="179">
        <v>2</v>
      </c>
      <c r="K49" s="180">
        <f>IF(J49="-",0,I49*J49)</f>
        <v>672.2</v>
      </c>
      <c r="L49" s="181">
        <f>IF(H49="-","-",K49*H49)</f>
        <v>168.05</v>
      </c>
      <c r="M49" s="182">
        <f>IF($H49="-","-",(($K49/(-0.8+1)*((1/(1-$H49))^(-0.8+1)-1))))</f>
        <v>199.05132976505777</v>
      </c>
      <c r="N49" s="182">
        <f>IF($H49="-","-",(($K49/(-1.2+1)*((1/(1-$H49))^(-1.2+1)-1))))</f>
        <v>187.9218745378345</v>
      </c>
      <c r="O49" s="57"/>
    </row>
    <row r="50" spans="1:15" ht="16.5">
      <c r="A50" s="85" t="s">
        <v>213</v>
      </c>
      <c r="B50" s="85" t="s">
        <v>214</v>
      </c>
      <c r="C50" s="86" t="s">
        <v>215</v>
      </c>
      <c r="D50" s="87" t="s">
        <v>48</v>
      </c>
      <c r="E50" s="88" t="s">
        <v>68</v>
      </c>
      <c r="F50" s="89">
        <v>0</v>
      </c>
      <c r="G50" s="89">
        <v>0</v>
      </c>
      <c r="H50" s="89">
        <v>0</v>
      </c>
      <c r="I50" s="90">
        <v>508.7</v>
      </c>
      <c r="J50" s="91">
        <v>242</v>
      </c>
      <c r="K50" s="92">
        <f>IF(J50="-",0,I50*J50)</f>
        <v>123105.4</v>
      </c>
      <c r="L50" s="93">
        <f>IF(H50="-","-",K50*H50)</f>
        <v>0</v>
      </c>
      <c r="M50" s="94">
        <f>IF($H50="-","-",(($K50/(-0.8+1)*((1/(1-$H50))^(-0.8+1)-1))))</f>
        <v>0</v>
      </c>
      <c r="N50" s="94">
        <f>IF($H50="-","-",(($K50/(-1.2+1)*((1/(1-$H50))^(-1.2+1)-1))))</f>
        <v>0</v>
      </c>
      <c r="O50" s="57"/>
    </row>
    <row r="51" spans="1:15" ht="16.5">
      <c r="A51" s="64" t="s">
        <v>216</v>
      </c>
      <c r="B51" s="64" t="s">
        <v>217</v>
      </c>
      <c r="C51" s="65" t="s">
        <v>218</v>
      </c>
      <c r="D51" s="66" t="s">
        <v>40</v>
      </c>
      <c r="E51" s="67" t="s">
        <v>79</v>
      </c>
      <c r="F51" s="68">
        <f>IF(E51="No aumenta",0,IF(E51="Pequeña",0,IF(E51="Moderada",0.1,IF(E51="Grande",0.4,IF(E51="Esencial",0.9,"-")))))</f>
        <v>0.1</v>
      </c>
      <c r="G51" s="68">
        <f>IF(E51="No aumenta",0,IF(E51="Pequeña",0.1,IF(E51="Moderada",0.4,IF(E51="Grande",0.9,IF(E51="Esencial",1,"-")))))</f>
        <v>0.4</v>
      </c>
      <c r="H51" s="68">
        <f>IF(F51="-","-",AVERAGE(F51:G51))</f>
        <v>0.25</v>
      </c>
      <c r="I51" s="69">
        <v>1310.8</v>
      </c>
      <c r="J51" s="70">
        <v>4</v>
      </c>
      <c r="K51" s="71">
        <f>IF(J51="-",0,I51*J51)</f>
        <v>5243.2</v>
      </c>
      <c r="L51" s="72">
        <f>IF(H51="-","-",K51*H51)</f>
        <v>1310.8</v>
      </c>
      <c r="M51" s="73">
        <f>IF($H51="-","-",(($K51/(-0.8+1)*((1/(1-$H51))^(-0.8+1)-1))))</f>
        <v>1552.6122169356602</v>
      </c>
      <c r="N51" s="73">
        <f>IF($H51="-","-",(($K51/(-1.2+1)*((1/(1-$H51))^(-1.2+1)-1))))</f>
        <v>1465.8018038928499</v>
      </c>
      <c r="O51" s="57"/>
    </row>
    <row r="52" spans="1:13" s="1" customFormat="1" ht="29.25">
      <c r="A52" s="197" t="s">
        <v>219</v>
      </c>
      <c r="B52" s="197" t="s">
        <v>220</v>
      </c>
      <c r="C52" s="198" t="s">
        <v>221</v>
      </c>
      <c r="D52" s="113" t="s">
        <v>64</v>
      </c>
      <c r="E52" s="199" t="s">
        <v>68</v>
      </c>
      <c r="F52" s="200">
        <f>IF(E52="No aumenta",0,IF(E52="Pequeña",0,IF(E52="Moderada",0.1,IF(E52="Grande",0.4,IF(E52="Esencial",0.9,"-")))))</f>
        <v>0</v>
      </c>
      <c r="G52" s="200">
        <f>IF(E52="No aumenta",0,IF(E52="Pequeña",0.1,IF(E52="Moderada",0.4,IF(E52="Grande",0.9,IF(E52="Esencial",1,"-")))))</f>
        <v>0</v>
      </c>
      <c r="H52" s="200">
        <f>IF(F52="-","-",AVERAGE(F52:G52))</f>
        <v>0</v>
      </c>
      <c r="I52" s="201">
        <v>31.2</v>
      </c>
      <c r="J52" s="202">
        <v>121827</v>
      </c>
      <c r="K52" s="203">
        <f>IF(J52="-",0,I52*J52)</f>
        <v>3801002.4</v>
      </c>
      <c r="L52" s="204">
        <f>IF($H52="-","-",(($K52/(-0.8+1)*((1/(1-$H52))^(-0.8+1)-1))))</f>
        <v>0</v>
      </c>
      <c r="M52" s="57"/>
    </row>
    <row r="53" spans="1:15" ht="29.25">
      <c r="A53" s="174" t="s">
        <v>222</v>
      </c>
      <c r="B53" s="174" t="s">
        <v>223</v>
      </c>
      <c r="C53" s="175" t="s">
        <v>224</v>
      </c>
      <c r="D53" s="79" t="s">
        <v>44</v>
      </c>
      <c r="E53" s="176" t="s">
        <v>79</v>
      </c>
      <c r="F53" s="177">
        <v>0.1</v>
      </c>
      <c r="G53" s="177">
        <v>0.4</v>
      </c>
      <c r="H53" s="177">
        <v>0.25</v>
      </c>
      <c r="I53" s="178">
        <v>380.1</v>
      </c>
      <c r="J53" s="179">
        <v>2230</v>
      </c>
      <c r="K53" s="180">
        <f>IF(J53="-",0,I53*J53)</f>
        <v>847623</v>
      </c>
      <c r="L53" s="181">
        <f>IF(H53="-","-",K53*H53)</f>
        <v>211905.75</v>
      </c>
      <c r="M53" s="182">
        <f>IF($H53="-","-",(($K53/(-0.8+1)*((1/(1-$H53))^(-0.8+1)-1))))</f>
        <v>250997.44910658666</v>
      </c>
      <c r="N53" s="182">
        <f>IF($H53="-","-",(($K53/(-1.2+1)*((1/(1-$H53))^(-1.2+1)-1))))</f>
        <v>236963.55706840655</v>
      </c>
      <c r="O53" s="57"/>
    </row>
    <row r="54" spans="1:15" ht="16.5">
      <c r="A54" s="85" t="s">
        <v>231</v>
      </c>
      <c r="B54" s="85" t="s">
        <v>232</v>
      </c>
      <c r="C54" s="86" t="s">
        <v>233</v>
      </c>
      <c r="D54" s="87" t="s">
        <v>48</v>
      </c>
      <c r="E54" s="88" t="s">
        <v>72</v>
      </c>
      <c r="F54" s="89">
        <v>0</v>
      </c>
      <c r="G54" s="89">
        <v>0.1</v>
      </c>
      <c r="H54" s="89">
        <v>0.05</v>
      </c>
      <c r="I54" s="90">
        <v>440.6</v>
      </c>
      <c r="J54" s="91">
        <v>13975</v>
      </c>
      <c r="K54" s="92">
        <f>IF(J54="-",0,I54*J54)</f>
        <v>6157385</v>
      </c>
      <c r="L54" s="93">
        <f>IF(H54="-","-",K54*H54)</f>
        <v>307869.25</v>
      </c>
      <c r="M54" s="94">
        <f>IF($H54="-","-",(($K54/(-0.8+1)*((1/(1-$H54))^(-0.8+1)-1))))</f>
        <v>317458.12466184964</v>
      </c>
      <c r="N54" s="94">
        <f>IF($H54="-","-",(($K54/(-1.2+1)*((1/(1-$H54))^(-1.2+1)-1))))</f>
        <v>314218.0777363115</v>
      </c>
      <c r="O54" s="57"/>
    </row>
    <row r="55" spans="1:15" ht="29.25">
      <c r="A55" s="47" t="s">
        <v>234</v>
      </c>
      <c r="B55" s="47" t="s">
        <v>235</v>
      </c>
      <c r="C55" s="48" t="s">
        <v>236</v>
      </c>
      <c r="D55" s="49" t="s">
        <v>34</v>
      </c>
      <c r="E55" s="50" t="s">
        <v>68</v>
      </c>
      <c r="F55" s="51" t="s">
        <v>63</v>
      </c>
      <c r="G55" s="51" t="s">
        <v>63</v>
      </c>
      <c r="H55" s="51" t="s">
        <v>63</v>
      </c>
      <c r="I55" s="157">
        <v>2087.7</v>
      </c>
      <c r="J55" s="158">
        <v>231</v>
      </c>
      <c r="K55" s="54">
        <f>IF(J55="-",0,I55*J55)</f>
        <v>482258.69999999995</v>
      </c>
      <c r="L55" s="55" t="str">
        <f>IF(H55="-","-",K55*H55)</f>
        <v>-</v>
      </c>
      <c r="M55" s="56" t="str">
        <f>IF($H55="-","-",(($K55/(-0.8+1)*((1/(1-$H55))^(-0.8+1)-1))))</f>
        <v>-</v>
      </c>
      <c r="N55" s="56" t="str">
        <f>IF($H55="-","-",(($K55/(-1.2+1)*((1/(1-$H55))^(-1.2+1)-1))))</f>
        <v>-</v>
      </c>
      <c r="O55" s="57"/>
    </row>
    <row r="56" spans="1:15" ht="16.5">
      <c r="A56" s="85" t="s">
        <v>237</v>
      </c>
      <c r="B56" s="85" t="s">
        <v>238</v>
      </c>
      <c r="C56" s="86" t="s">
        <v>239</v>
      </c>
      <c r="D56" s="87" t="s">
        <v>48</v>
      </c>
      <c r="E56" s="88" t="s">
        <v>130</v>
      </c>
      <c r="F56" s="89">
        <v>0.9</v>
      </c>
      <c r="G56" s="89">
        <v>1</v>
      </c>
      <c r="H56" s="89">
        <v>0.95</v>
      </c>
      <c r="I56" s="90">
        <v>243.3</v>
      </c>
      <c r="J56" s="91">
        <v>51</v>
      </c>
      <c r="K56" s="92">
        <f>IF(J56="-",0,I56*J56)</f>
        <v>12408.300000000001</v>
      </c>
      <c r="L56" s="93">
        <f>IF(H56="-","-",K56*H56)</f>
        <v>11787.885</v>
      </c>
      <c r="M56" s="94">
        <f>IF($H56="-","-",(($K56/(-0.8+1)*((1/(1-$H56))^(-0.8+1)-1))))</f>
        <v>50909.03400204255</v>
      </c>
      <c r="N56" s="94">
        <f>IF($H56="-","-",(($K56/(-1.2+1)*((1/(1-$H56))^(-1.2+1)-1))))</f>
        <v>27963.328026236748</v>
      </c>
      <c r="O56" s="57"/>
    </row>
    <row r="57" spans="1:15" ht="29.25">
      <c r="A57" s="119" t="s">
        <v>240</v>
      </c>
      <c r="B57" s="119" t="s">
        <v>241</v>
      </c>
      <c r="C57" s="120" t="s">
        <v>242</v>
      </c>
      <c r="D57" s="121" t="s">
        <v>36</v>
      </c>
      <c r="E57" s="122" t="s">
        <v>68</v>
      </c>
      <c r="F57" s="123">
        <v>0</v>
      </c>
      <c r="G57" s="123">
        <v>0</v>
      </c>
      <c r="H57" s="123">
        <v>0</v>
      </c>
      <c r="I57" s="124">
        <v>230.1</v>
      </c>
      <c r="J57" s="125">
        <v>167569</v>
      </c>
      <c r="K57" s="126">
        <f>IF(J57="-",0,I57*J57)</f>
        <v>38557626.9</v>
      </c>
      <c r="L57" s="127">
        <f>IF(H57="-","-",K57*H57)</f>
        <v>0</v>
      </c>
      <c r="M57" s="128">
        <f>IF($H57="-","-",(($K57/(-0.8+1)*((1/(1-$H57))^(-0.8+1)-1))))</f>
        <v>0</v>
      </c>
      <c r="N57" s="128">
        <f>IF($H57="-","-",(($K57/(-1.2+1)*((1/(1-$H57))^(-1.2+1)-1))))</f>
        <v>0</v>
      </c>
      <c r="O57" s="57"/>
    </row>
    <row r="58" spans="9:14" ht="16.5">
      <c r="I58" s="205"/>
      <c r="J58" s="206"/>
      <c r="K58" s="207"/>
      <c r="L58" s="208"/>
      <c r="M58" s="209"/>
      <c r="N58" s="209"/>
    </row>
    <row r="59" spans="1:14" ht="30" customHeight="1">
      <c r="A59" s="210" t="s">
        <v>243</v>
      </c>
      <c r="B59" s="210" t="s">
        <v>248</v>
      </c>
      <c r="C59" s="210"/>
      <c r="D59" s="210"/>
      <c r="E59" s="210"/>
      <c r="F59" s="211">
        <f>AVERAGE(F9:F57)</f>
        <v>0.18974358974358974</v>
      </c>
      <c r="G59" s="211">
        <f>AVERAGE(G9:G57)</f>
        <v>0.3897435897435898</v>
      </c>
      <c r="H59" s="211">
        <f>AVERAGE(H9:H57)</f>
        <v>0.2897435897435898</v>
      </c>
      <c r="I59" s="212">
        <f>AVERAGE(I9:I57)</f>
        <v>703.3183673469385</v>
      </c>
      <c r="J59" s="213">
        <f>AVERAGE(J9:J57)</f>
        <v>20434.833333333332</v>
      </c>
      <c r="K59" s="214">
        <f>SUM(K9:K57)</f>
        <v>432394472.09999985</v>
      </c>
      <c r="L59" s="215">
        <f>SUM(L9:L57)</f>
        <v>31102769.770000007</v>
      </c>
      <c r="M59" s="216">
        <f>SUM(M9:M57)</f>
        <v>55340937.03667473</v>
      </c>
      <c r="N59" s="216">
        <f>SUM(N9:N57)</f>
        <v>44804412.88206873</v>
      </c>
    </row>
  </sheetData>
  <sheetProtection selectLockedCells="1" selectUnlockedCells="1"/>
  <mergeCells count="10">
    <mergeCell ref="A2:N2"/>
    <mergeCell ref="A3:N3"/>
    <mergeCell ref="P3:V3"/>
    <mergeCell ref="F4:H4"/>
    <mergeCell ref="I4:N4"/>
    <mergeCell ref="M5:N5"/>
    <mergeCell ref="U5:V5"/>
    <mergeCell ref="B6:D6"/>
    <mergeCell ref="E6:H6"/>
    <mergeCell ref="A59:E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57"/>
  <sheetViews>
    <sheetView zoomScale="90" zoomScaleNormal="90" workbookViewId="0" topLeftCell="A21">
      <selection activeCell="A9" sqref="A9:A63"/>
    </sheetView>
  </sheetViews>
  <sheetFormatPr defaultColWidth="11.00390625" defaultRowHeight="12.75"/>
  <cols>
    <col min="1" max="1" width="10.75390625" style="1" customWidth="1"/>
    <col min="2" max="2" width="14.00390625" style="2" customWidth="1"/>
    <col min="3" max="3" width="40.75390625" style="3" customWidth="1"/>
    <col min="4" max="4" width="12.75390625" style="1" customWidth="1"/>
    <col min="5" max="5" width="11.75390625" style="4" customWidth="1"/>
    <col min="6" max="8" width="10.75390625" style="4" customWidth="1"/>
    <col min="9" max="9" width="14.625" style="1" customWidth="1"/>
    <col min="10" max="10" width="14.00390625" style="1" customWidth="1"/>
    <col min="11" max="11" width="16.875" style="5" customWidth="1"/>
    <col min="12" max="12" width="15.75390625" style="6" customWidth="1"/>
    <col min="13" max="14" width="15.75390625" style="7" customWidth="1"/>
    <col min="15" max="15" width="10.75390625" style="1" customWidth="1"/>
    <col min="16" max="16" width="12.375" style="1" customWidth="1"/>
    <col min="17" max="17" width="14.125" style="1" customWidth="1"/>
    <col min="18" max="18" width="24.75390625" style="1" customWidth="1"/>
    <col min="19" max="19" width="21.25390625" style="1" customWidth="1"/>
    <col min="20" max="20" width="14.125" style="1" customWidth="1"/>
    <col min="21" max="22" width="18.75390625" style="1" customWidth="1"/>
    <col min="23" max="245" width="10.75390625" style="1" customWidth="1"/>
    <col min="246" max="16384" width="10.75390625" style="0" customWidth="1"/>
  </cols>
  <sheetData>
    <row r="1" spans="2:14" s="8" customFormat="1" ht="12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36.75" customHeight="1">
      <c r="A2" s="9" t="s">
        <v>272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2" s="11" customFormat="1" ht="60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12" t="s">
        <v>2</v>
      </c>
      <c r="Q3" s="12"/>
      <c r="R3" s="12"/>
      <c r="S3" s="12"/>
      <c r="T3" s="12"/>
      <c r="U3" s="12"/>
      <c r="V3" s="12"/>
    </row>
    <row r="4" spans="6:246" ht="61.5" customHeight="1">
      <c r="F4" s="13" t="s">
        <v>3</v>
      </c>
      <c r="G4" s="13"/>
      <c r="H4" s="13"/>
      <c r="I4" s="14" t="s">
        <v>4</v>
      </c>
      <c r="J4" s="14"/>
      <c r="K4" s="14"/>
      <c r="L4" s="14"/>
      <c r="M4" s="14"/>
      <c r="N4" s="14"/>
      <c r="IL4" s="1"/>
    </row>
    <row r="5" spans="1:246" ht="78.75" customHeight="1">
      <c r="A5" s="15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8" t="s">
        <v>11</v>
      </c>
      <c r="H5" s="17" t="s">
        <v>12</v>
      </c>
      <c r="I5" s="19" t="s">
        <v>13</v>
      </c>
      <c r="J5" s="19" t="s">
        <v>14</v>
      </c>
      <c r="K5" s="20" t="s">
        <v>15</v>
      </c>
      <c r="L5" s="21" t="s">
        <v>16</v>
      </c>
      <c r="M5" s="22" t="s">
        <v>17</v>
      </c>
      <c r="N5" s="22"/>
      <c r="P5" s="16" t="s">
        <v>8</v>
      </c>
      <c r="Q5" s="23" t="s">
        <v>18</v>
      </c>
      <c r="R5" s="20" t="s">
        <v>15</v>
      </c>
      <c r="S5" s="21" t="s">
        <v>16</v>
      </c>
      <c r="T5" s="24" t="s">
        <v>19</v>
      </c>
      <c r="U5" s="22" t="s">
        <v>17</v>
      </c>
      <c r="V5" s="22"/>
      <c r="IL5" s="1"/>
    </row>
    <row r="6" spans="1:246" ht="47.25" customHeight="1">
      <c r="A6" s="25"/>
      <c r="B6" s="26" t="s">
        <v>20</v>
      </c>
      <c r="C6" s="26"/>
      <c r="D6" s="26"/>
      <c r="E6" s="27" t="s">
        <v>21</v>
      </c>
      <c r="F6" s="27"/>
      <c r="G6" s="27"/>
      <c r="H6" s="27"/>
      <c r="I6" s="28" t="s">
        <v>20</v>
      </c>
      <c r="J6" s="28" t="s">
        <v>22</v>
      </c>
      <c r="K6" s="29" t="s">
        <v>23</v>
      </c>
      <c r="L6" s="30" t="s">
        <v>24</v>
      </c>
      <c r="M6" s="31">
        <v>-0.8</v>
      </c>
      <c r="N6" s="31">
        <v>-1.2</v>
      </c>
      <c r="P6" s="32"/>
      <c r="Q6" s="33" t="s">
        <v>25</v>
      </c>
      <c r="R6" s="29" t="s">
        <v>23</v>
      </c>
      <c r="S6" s="30" t="s">
        <v>26</v>
      </c>
      <c r="T6" s="34" t="s">
        <v>27</v>
      </c>
      <c r="U6" s="31">
        <v>-0.8</v>
      </c>
      <c r="V6" s="31">
        <v>-1.2</v>
      </c>
      <c r="IL6" s="1"/>
    </row>
    <row r="7" spans="2:246" ht="27.75" customHeight="1">
      <c r="B7" s="35"/>
      <c r="C7" s="36"/>
      <c r="D7" s="37"/>
      <c r="E7" s="38"/>
      <c r="F7" s="39"/>
      <c r="G7" s="39"/>
      <c r="H7" s="39"/>
      <c r="I7" s="19" t="s">
        <v>28</v>
      </c>
      <c r="J7" s="19" t="s">
        <v>29</v>
      </c>
      <c r="K7" s="40" t="s">
        <v>30</v>
      </c>
      <c r="L7" s="41" t="s">
        <v>30</v>
      </c>
      <c r="M7" s="42" t="s">
        <v>30</v>
      </c>
      <c r="N7" s="42" t="s">
        <v>30</v>
      </c>
      <c r="P7" s="43"/>
      <c r="Q7" s="19"/>
      <c r="R7" s="40"/>
      <c r="S7" s="41"/>
      <c r="T7" s="44"/>
      <c r="U7" s="42"/>
      <c r="V7" s="42"/>
      <c r="IL7" s="1"/>
    </row>
    <row r="8" spans="2:246" ht="16.5">
      <c r="B8" s="35"/>
      <c r="C8" s="36"/>
      <c r="D8" s="37"/>
      <c r="E8" s="38"/>
      <c r="F8" s="39"/>
      <c r="G8" s="39"/>
      <c r="H8" s="39"/>
      <c r="I8" s="19"/>
      <c r="J8" s="19"/>
      <c r="K8" s="40"/>
      <c r="L8" s="41"/>
      <c r="M8" s="42"/>
      <c r="N8" s="42"/>
      <c r="P8" s="43"/>
      <c r="Q8" s="43"/>
      <c r="R8" s="40"/>
      <c r="S8" s="45"/>
      <c r="T8" s="44"/>
      <c r="U8" s="46"/>
      <c r="V8" s="46"/>
      <c r="IL8" s="1"/>
    </row>
    <row r="9" spans="1:22" ht="29.25">
      <c r="A9" s="47" t="s">
        <v>31</v>
      </c>
      <c r="B9" s="47" t="s">
        <v>32</v>
      </c>
      <c r="C9" s="48" t="s">
        <v>33</v>
      </c>
      <c r="D9" s="49" t="s">
        <v>34</v>
      </c>
      <c r="E9" s="50" t="s">
        <v>35</v>
      </c>
      <c r="F9" s="51">
        <v>0.4</v>
      </c>
      <c r="G9" s="51">
        <v>0.9</v>
      </c>
      <c r="H9" s="51">
        <v>0.65</v>
      </c>
      <c r="I9" s="52">
        <v>687.9</v>
      </c>
      <c r="J9" s="53">
        <v>37784</v>
      </c>
      <c r="K9" s="54">
        <f>IF(J9="-",0,I9*J9)</f>
        <v>25991613.599999998</v>
      </c>
      <c r="L9" s="55">
        <f>IF(H9="-","-",$K9*H9)</f>
        <v>16894548.84</v>
      </c>
      <c r="M9" s="56">
        <f>IF($H9="-","-",(($K9/(-0.8+1)*((1/(1-$H9))^(-0.8+1)-1))))</f>
        <v>30362645.67905174</v>
      </c>
      <c r="N9" s="56">
        <f>IF($H9="-","-",(($K9/(-1.2+1)*((1/(1-$H9))^(-1.2+1)-1))))</f>
        <v>24612357.824937113</v>
      </c>
      <c r="O9" s="57"/>
      <c r="P9" s="58" t="s">
        <v>36</v>
      </c>
      <c r="Q9" s="59">
        <f>SUMIF($D$9:$D$55,$P9,$K$9:$K$55)/SUMIF($D$9:$D$55,$P9,$J$9:$J$55)</f>
        <v>211.84428804482474</v>
      </c>
      <c r="R9" s="217">
        <f>SUMIF($D$9:$D$55,$P9,$K$9:$K$55)</f>
        <v>605389116.7</v>
      </c>
      <c r="S9" s="218">
        <f>SUMIF($D$9:$D$55,$P9,$L$9:$L$55)</f>
        <v>0</v>
      </c>
      <c r="T9" s="62">
        <f>IF(R9=0,"-",S9/R9)</f>
        <v>0</v>
      </c>
      <c r="U9" s="219">
        <f>SUMIF($D$9:$D$55,$P9,$M$9:$M$55)</f>
        <v>0</v>
      </c>
      <c r="V9" s="219">
        <f>SUMIF($D$9:$D$55,$P9,$N$9:$N$55)</f>
        <v>0</v>
      </c>
    </row>
    <row r="10" spans="1:22" ht="16.5">
      <c r="A10" s="64" t="s">
        <v>37</v>
      </c>
      <c r="B10" s="64" t="s">
        <v>38</v>
      </c>
      <c r="C10" s="65" t="s">
        <v>39</v>
      </c>
      <c r="D10" s="66" t="s">
        <v>40</v>
      </c>
      <c r="E10" s="67" t="s">
        <v>35</v>
      </c>
      <c r="F10" s="68">
        <v>0.4</v>
      </c>
      <c r="G10" s="68">
        <v>0.9</v>
      </c>
      <c r="H10" s="68">
        <v>0.65</v>
      </c>
      <c r="I10" s="69">
        <v>342.2</v>
      </c>
      <c r="J10" s="70">
        <v>81054</v>
      </c>
      <c r="K10" s="71">
        <f>IF(J10="-",0,I10*J10)</f>
        <v>27736678.8</v>
      </c>
      <c r="L10" s="72">
        <f>IF(H10="-","-",K10*H10)</f>
        <v>18028841.220000003</v>
      </c>
      <c r="M10" s="73">
        <f>IF($H10="-","-",(($K10/(-0.8+1)*((1/(1-$H10))^(-0.8+1)-1))))</f>
        <v>32401179.99900037</v>
      </c>
      <c r="N10" s="73">
        <f>IF($H10="-","-",(($K10/(-1.2+1)*((1/(1-$H10))^(-1.2+1)-1))))</f>
        <v>26264820.415033694</v>
      </c>
      <c r="O10" s="57"/>
      <c r="P10" s="66" t="s">
        <v>40</v>
      </c>
      <c r="Q10" s="74">
        <f>SUMIF($D$9:$D$55,$P10,$K$9:$K$55)/SUMIF($D$9:$D$55,$P10,$J$9:$J$55)</f>
        <v>550.4409310104229</v>
      </c>
      <c r="R10" s="220">
        <f>SUMIF($D$9:$D$55,$P10,$K$9:$K$55)</f>
        <v>355790155.9000001</v>
      </c>
      <c r="S10" s="221">
        <f>SUMIF($D$9:$D$55,$P10,$L$9:$L$55)</f>
        <v>172886248.055</v>
      </c>
      <c r="T10" s="77">
        <f>IF(R10=0,"-",S10/R10)</f>
        <v>0.4859219548041463</v>
      </c>
      <c r="U10" s="222">
        <f>SUMIF($D$9:$D$55,$P10,$M$9:$M$55)</f>
        <v>310615915.76909006</v>
      </c>
      <c r="V10" s="222">
        <f>SUMIF($D$9:$D$55,$P10,$N$9:$N$55)</f>
        <v>251813275.200552</v>
      </c>
    </row>
    <row r="11" spans="1:22" ht="29.25">
      <c r="A11" s="64" t="s">
        <v>41</v>
      </c>
      <c r="B11" s="64" t="s">
        <v>42</v>
      </c>
      <c r="C11" s="65" t="s">
        <v>43</v>
      </c>
      <c r="D11" s="66" t="s">
        <v>40</v>
      </c>
      <c r="E11" s="67" t="s">
        <v>35</v>
      </c>
      <c r="F11" s="68">
        <v>0.4</v>
      </c>
      <c r="G11" s="68">
        <v>0.9</v>
      </c>
      <c r="H11" s="68">
        <v>0.65</v>
      </c>
      <c r="I11" s="69">
        <v>745.8</v>
      </c>
      <c r="J11" s="70">
        <v>8855</v>
      </c>
      <c r="K11" s="71">
        <f>IF(J11="-",0,I11*J11)</f>
        <v>6604059</v>
      </c>
      <c r="L11" s="72">
        <f>IF(H11="-","-",K11*H11)</f>
        <v>4292638.350000001</v>
      </c>
      <c r="M11" s="73">
        <f>IF($H11="-","-",(($K11/(-0.8+1)*((1/(1-$H11))^(-0.8+1)-1))))</f>
        <v>7714669.298583015</v>
      </c>
      <c r="N11" s="73">
        <f>IF($H11="-","-",(($K11/(-1.2+1)*((1/(1-$H11))^(-1.2+1)-1))))</f>
        <v>6253611.865213185</v>
      </c>
      <c r="O11" s="57"/>
      <c r="P11" s="79" t="s">
        <v>44</v>
      </c>
      <c r="Q11" s="80">
        <f>SUMIF($D$9:$D$55,$P11,$K$9:$K$55)/SUMIF($D$9:$D$55,$P11,$J$9:$J$55)</f>
        <v>385.94527436032905</v>
      </c>
      <c r="R11" s="223">
        <f>SUMIF($D$9:$D$55,$P11,$K$9:$K$55)</f>
        <v>25566944.7</v>
      </c>
      <c r="S11" s="224">
        <f>SUMIF($D$9:$D$55,$P11,$L$9:$L$55)</f>
        <v>1449159.1350000002</v>
      </c>
      <c r="T11" s="83">
        <f>IF(R11=0,"-",S11/R11)</f>
        <v>0.056680966459007526</v>
      </c>
      <c r="U11" s="225">
        <f>SUMIF($D$9:$D$55,$P11,$M$9:$M$55)</f>
        <v>1716421.3257943382</v>
      </c>
      <c r="V11" s="225">
        <f>SUMIF($D$9:$D$55,$P11,$N$9:$N$55)</f>
        <v>1620474.7078753978</v>
      </c>
    </row>
    <row r="12" spans="1:22" ht="42.75">
      <c r="A12" s="85" t="s">
        <v>45</v>
      </c>
      <c r="B12" s="85" t="s">
        <v>46</v>
      </c>
      <c r="C12" s="86" t="s">
        <v>47</v>
      </c>
      <c r="D12" s="87" t="s">
        <v>48</v>
      </c>
      <c r="E12" s="88" t="s">
        <v>49</v>
      </c>
      <c r="F12" s="89" t="str">
        <f>IF(E12="No aumenta",0,IF(E12="Pequeña",0,IF(E12="Moderada",0.1,IF(E12="Grande",0.4,IF(E12="Esencial",0.9,"-")))))</f>
        <v>-</v>
      </c>
      <c r="G12" s="89" t="str">
        <f>IF(E12="No aumenta",0,IF(E12="Pequeña",0.1,IF(E12="Moderada",0.4,IF(E12="Grande",0.9,IF(E12="Esencial",1,"-")))))</f>
        <v>-</v>
      </c>
      <c r="H12" s="89" t="str">
        <f>IF(F12="-","-",AVERAGE(F12:G12))</f>
        <v>-</v>
      </c>
      <c r="I12" s="90">
        <v>661.2</v>
      </c>
      <c r="J12" s="91">
        <v>648</v>
      </c>
      <c r="K12" s="92">
        <f>IF(J12="-",0,I12*J12)</f>
        <v>428457.60000000003</v>
      </c>
      <c r="L12" s="93" t="str">
        <f>IF(H12="-","-",K12*H12)</f>
        <v>-</v>
      </c>
      <c r="M12" s="94" t="str">
        <f>IF($H12="-","-",(($K12/(-0.8+1)*((1/(1-$H12))^(-0.8+1)-1))))</f>
        <v>-</v>
      </c>
      <c r="N12" s="94" t="str">
        <f>IF($H12="-","-",(($K12/(-1.2+1)*((1/(1-$H12))^(-1.2+1)-1))))</f>
        <v>-</v>
      </c>
      <c r="O12" s="57"/>
      <c r="P12" s="95" t="s">
        <v>50</v>
      </c>
      <c r="Q12" s="96">
        <f>SUMIF($D$9:$D$55,$P12,$K$9:$K$55)/SUMIF($D$9:$D$55,$P12,$J$9:$J$55)</f>
        <v>233.41021789920373</v>
      </c>
      <c r="R12" s="226">
        <f>SUMIF($D$9:$D$55,$P12,$K$9:$K$55)</f>
        <v>9790625</v>
      </c>
      <c r="S12" s="227">
        <f>SUMIF($D$9:$D$55,$P12,$L$9:$L$55)</f>
        <v>47041.92</v>
      </c>
      <c r="T12" s="99">
        <f>IF(R12=0,"-",S12/R12)</f>
        <v>0.004804792339610597</v>
      </c>
      <c r="U12" s="228">
        <f>SUMIF($D$9:$D$55,$P12,$M$9:$M$55)</f>
        <v>55591.891497333236</v>
      </c>
      <c r="V12" s="228">
        <f>SUMIF($D$9:$D$55,$P12,$N$9:$N$55)</f>
        <v>52523.00726337645</v>
      </c>
    </row>
    <row r="13" spans="1:22" ht="42.75">
      <c r="A13" s="85" t="s">
        <v>51</v>
      </c>
      <c r="B13" s="85" t="s">
        <v>52</v>
      </c>
      <c r="C13" s="86" t="s">
        <v>53</v>
      </c>
      <c r="D13" s="87" t="s">
        <v>48</v>
      </c>
      <c r="E13" s="88" t="s">
        <v>49</v>
      </c>
      <c r="F13" s="89" t="str">
        <f>IF(E13="No aumenta",0,IF(E13="Pequeña",0,IF(E13="Moderada",0.1,IF(E13="Grande",0.4,IF(E13="Esencial",0.9,"-")))))</f>
        <v>-</v>
      </c>
      <c r="G13" s="89" t="str">
        <f>IF(E13="No aumenta",0,IF(E13="Pequeña",0.1,IF(E13="Moderada",0.4,IF(E13="Grande",0.9,IF(E13="Esencial",1,"-")))))</f>
        <v>-</v>
      </c>
      <c r="H13" s="89" t="str">
        <f>IF(F13="-","-",AVERAGE(F13:G13))</f>
        <v>-</v>
      </c>
      <c r="I13" s="90">
        <v>1257.3</v>
      </c>
      <c r="J13" s="91">
        <v>166</v>
      </c>
      <c r="K13" s="92">
        <f>IF(J13="-",0,I13*J13)</f>
        <v>208711.8</v>
      </c>
      <c r="L13" s="93" t="str">
        <f>IF(H13="-","-",K13*H13)</f>
        <v>-</v>
      </c>
      <c r="M13" s="94" t="str">
        <f>IF($H13="-","-",(($K13/(-0.8+1)*((1/(1-$H13))^(-0.8+1)-1))))</f>
        <v>-</v>
      </c>
      <c r="N13" s="94" t="str">
        <f>IF($H13="-","-",(($K13/(-1.2+1)*((1/(1-$H13))^(-1.2+1)-1))))</f>
        <v>-</v>
      </c>
      <c r="O13" s="57"/>
      <c r="P13" s="101" t="s">
        <v>54</v>
      </c>
      <c r="Q13" s="102">
        <f>SUMIF($D$9:$D$55,$P13,$K$9:$K$55)/SUMIF($D$9:$D$55,$P13,$J$9:$J$55)</f>
        <v>212.7</v>
      </c>
      <c r="R13" s="229">
        <f>SUMIF($D$9:$D$55,$P13,$K$9:$K$55)</f>
        <v>2110834.8</v>
      </c>
      <c r="S13" s="230">
        <f>SUMIF($D$9:$D$55,$P13,$L$9:$L$55)</f>
        <v>0</v>
      </c>
      <c r="T13" s="105">
        <f>IF(R13=0,"-",S13/R13)</f>
        <v>0</v>
      </c>
      <c r="U13" s="231">
        <f>SUMIF($D$9:$D$55,$P13,$M$9:$M$55)</f>
        <v>0</v>
      </c>
      <c r="V13" s="231">
        <f>SUMIF($D$9:$D$55,$P13,$N$9:$N$55)</f>
        <v>0</v>
      </c>
    </row>
    <row r="14" spans="1:22" ht="16.5">
      <c r="A14" s="119" t="s">
        <v>65</v>
      </c>
      <c r="B14" s="119" t="s">
        <v>66</v>
      </c>
      <c r="C14" s="120" t="s">
        <v>67</v>
      </c>
      <c r="D14" s="121" t="s">
        <v>36</v>
      </c>
      <c r="E14" s="122" t="s">
        <v>68</v>
      </c>
      <c r="F14" s="123">
        <v>0</v>
      </c>
      <c r="G14" s="123">
        <v>0</v>
      </c>
      <c r="H14" s="123">
        <v>0</v>
      </c>
      <c r="I14" s="124">
        <v>194.8</v>
      </c>
      <c r="J14" s="125">
        <v>1172426</v>
      </c>
      <c r="K14" s="126">
        <f>IF(J14="-",0,I14*J14)</f>
        <v>228388584.8</v>
      </c>
      <c r="L14" s="127">
        <f>IF(H14="-","-",K14*H14)</f>
        <v>0</v>
      </c>
      <c r="M14" s="128">
        <f>IF($H14="-","-",(($K14/(-0.8+1)*((1/(1-$H14))^(-0.8+1)-1))))</f>
        <v>0</v>
      </c>
      <c r="N14" s="128">
        <f>IF($H14="-","-",(($K14/(-1.2+1)*((1/(1-$H14))^(-1.2+1)-1))))</f>
        <v>0</v>
      </c>
      <c r="O14" s="57"/>
      <c r="P14" s="49" t="s">
        <v>34</v>
      </c>
      <c r="Q14" s="129">
        <f>SUMIF($D$9:$D$55,$P14,$K$9:$K$55)/SUMIF($D$9:$D$55,$P14,$J$9:$J$55)</f>
        <v>712.9800592454006</v>
      </c>
      <c r="R14" s="232">
        <f>SUMIF($D$9:$D$55,$P14,$K$9:$K$55)</f>
        <v>27438324.599999998</v>
      </c>
      <c r="S14" s="233">
        <f>SUMIF($D$9:$D$55,$P14,$L$9:$L$55)</f>
        <v>16894548.84</v>
      </c>
      <c r="T14" s="132">
        <f>IF(R14=0,"-",S14/R14)</f>
        <v>0.6157281498156779</v>
      </c>
      <c r="U14" s="234">
        <f>SUMIF($D$9:$D$55,$P14,$M$9:$M$55)</f>
        <v>30362645.67905174</v>
      </c>
      <c r="V14" s="234">
        <f>SUMIF($D$9:$D$55,$P14,$N$9:$N$55)</f>
        <v>24612357.824937113</v>
      </c>
    </row>
    <row r="15" spans="1:22" ht="42.75">
      <c r="A15" s="134" t="s">
        <v>69</v>
      </c>
      <c r="B15" s="134" t="s">
        <v>70</v>
      </c>
      <c r="C15" s="135" t="s">
        <v>71</v>
      </c>
      <c r="D15" s="95" t="s">
        <v>50</v>
      </c>
      <c r="E15" s="136" t="s">
        <v>72</v>
      </c>
      <c r="F15" s="137">
        <v>0</v>
      </c>
      <c r="G15" s="137">
        <v>0.1</v>
      </c>
      <c r="H15" s="137">
        <v>0.05</v>
      </c>
      <c r="I15" s="138">
        <v>1857.6</v>
      </c>
      <c r="J15" s="139">
        <v>9</v>
      </c>
      <c r="K15" s="140">
        <f>IF(J15="-",0,I15*J15)</f>
        <v>16718.399999999998</v>
      </c>
      <c r="L15" s="141">
        <f>IF(H15="-","-",K15*H15)</f>
        <v>835.92</v>
      </c>
      <c r="M15" s="142">
        <f>IF($H15="-","-",(($K15/(-0.8+1)*((1/(1-$H15))^(-0.8+1)-1))))</f>
        <v>861.9555073049137</v>
      </c>
      <c r="N15" s="142">
        <f>IF($H15="-","-",(($K15/(-1.2+1)*((1/(1-$H15))^(-1.2+1)-1))))</f>
        <v>853.1582012212571</v>
      </c>
      <c r="O15" s="57"/>
      <c r="P15" s="87" t="s">
        <v>48</v>
      </c>
      <c r="Q15" s="143">
        <f>SUMIF($D$9:$D$55,$P15,$K$9:$K$55)/SUMIF($D$9:$D$55,$P15,$J$9:$J$55)</f>
        <v>635.8448282846012</v>
      </c>
      <c r="R15" s="235">
        <f>SUMIF($D$9:$D$55,$P15,$K$9:$K$55)</f>
        <v>94183243.49999999</v>
      </c>
      <c r="S15" s="236">
        <f>SUMIF($D$9:$D$55,$P15,$L$9:$L$55)</f>
        <v>2359041.18</v>
      </c>
      <c r="T15" s="146">
        <f>IF(R15=0,"-",S15/R15)</f>
        <v>0.025047355477835084</v>
      </c>
      <c r="U15" s="237">
        <f>SUMIF($D$9:$D$55,$P15,$M$9:$M$55)</f>
        <v>6257420.5285331365</v>
      </c>
      <c r="V15" s="237">
        <f>SUMIF($D$9:$D$55,$P15,$N$9:$N$55)</f>
        <v>3981855.8732189513</v>
      </c>
    </row>
    <row r="16" spans="1:22" ht="29.25">
      <c r="A16" s="85" t="s">
        <v>73</v>
      </c>
      <c r="B16" s="85" t="s">
        <v>74</v>
      </c>
      <c r="C16" s="86" t="s">
        <v>75</v>
      </c>
      <c r="D16" s="87" t="s">
        <v>48</v>
      </c>
      <c r="E16" s="88" t="s">
        <v>72</v>
      </c>
      <c r="F16" s="89">
        <v>0</v>
      </c>
      <c r="G16" s="89">
        <v>0.1</v>
      </c>
      <c r="H16" s="89">
        <v>0.05</v>
      </c>
      <c r="I16" s="90">
        <v>1536</v>
      </c>
      <c r="J16" s="91">
        <v>8</v>
      </c>
      <c r="K16" s="92">
        <f>IF(J16="-",0,I16*J16)</f>
        <v>12288</v>
      </c>
      <c r="L16" s="93">
        <f>IF(H16="-","-",K16*H16)</f>
        <v>614.4000000000001</v>
      </c>
      <c r="M16" s="94">
        <f>IF($H16="-","-",(($K16/(-0.8+1)*((1/(1-$H16))^(-0.8+1)-1))))</f>
        <v>633.5360604939934</v>
      </c>
      <c r="N16" s="94">
        <f>IF($H16="-","-",(($K16/(-1.2+1)*((1/(1-$H16))^(-1.2+1)-1))))</f>
        <v>627.0700531514264</v>
      </c>
      <c r="O16" s="57"/>
      <c r="P16" s="57"/>
      <c r="Q16" s="57"/>
      <c r="R16" s="238"/>
      <c r="S16" s="239"/>
      <c r="T16" s="150"/>
      <c r="U16" s="240"/>
      <c r="V16" s="240"/>
    </row>
    <row r="17" spans="1:22" ht="42.75">
      <c r="A17" s="134" t="s">
        <v>254</v>
      </c>
      <c r="B17" s="134" t="s">
        <v>77</v>
      </c>
      <c r="C17" s="135" t="s">
        <v>78</v>
      </c>
      <c r="D17" s="95" t="s">
        <v>50</v>
      </c>
      <c r="E17" s="136" t="s">
        <v>79</v>
      </c>
      <c r="F17" s="137">
        <v>0.1</v>
      </c>
      <c r="G17" s="137">
        <v>0.4</v>
      </c>
      <c r="H17" s="137">
        <v>0.25</v>
      </c>
      <c r="I17" s="138">
        <v>256.7</v>
      </c>
      <c r="J17" s="139">
        <v>720</v>
      </c>
      <c r="K17" s="140">
        <f>IF(J17="-",0,I17*J17)</f>
        <v>184824</v>
      </c>
      <c r="L17" s="141">
        <f>IF(H17="-","-",K17*H17)</f>
        <v>46206</v>
      </c>
      <c r="M17" s="142">
        <f>IF($H17="-","-",(($K17/(-0.8+1)*((1/(1-$H17))^(-0.8+1)-1))))</f>
        <v>54729.93599002832</v>
      </c>
      <c r="N17" s="142">
        <f>IF($H17="-","-",(($K17/(-1.2+1)*((1/(1-$H17))^(-1.2+1)-1))))</f>
        <v>51669.84906215519</v>
      </c>
      <c r="O17" s="57"/>
      <c r="P17" s="152" t="s">
        <v>80</v>
      </c>
      <c r="Q17" s="152"/>
      <c r="R17" s="241">
        <f>SUM(R9:R15)</f>
        <v>1120269245.2000003</v>
      </c>
      <c r="S17" s="242">
        <f>SUM(S9:S15)</f>
        <v>193636039.13</v>
      </c>
      <c r="T17" s="155">
        <f>IF(R17=0,"-",S17/R17)</f>
        <v>0.1728477684803624</v>
      </c>
      <c r="U17" s="243">
        <f>SUM(U9:U15)</f>
        <v>349007995.1939666</v>
      </c>
      <c r="V17" s="243">
        <f>SUM(V9:V15)</f>
        <v>282080486.61384684</v>
      </c>
    </row>
    <row r="18" spans="1:19" ht="42.75">
      <c r="A18" s="85" t="s">
        <v>81</v>
      </c>
      <c r="B18" s="85" t="s">
        <v>82</v>
      </c>
      <c r="C18" s="86" t="s">
        <v>83</v>
      </c>
      <c r="D18" s="87" t="s">
        <v>48</v>
      </c>
      <c r="E18" s="88" t="s">
        <v>49</v>
      </c>
      <c r="F18" s="89" t="str">
        <f>IF(E18="No aumenta",0,IF(E18="Pequeña",0,IF(E18="Moderada",0.1,IF(E18="Grande",0.4,IF(E18="Esencial",0.9,"-")))))</f>
        <v>-</v>
      </c>
      <c r="G18" s="89" t="str">
        <f>IF(E18="No aumenta",0,IF(E18="Pequeña",0.1,IF(E18="Moderada",0.4,IF(E18="Grande",0.9,IF(E18="Esencial",1,"-")))))</f>
        <v>-</v>
      </c>
      <c r="H18" s="89" t="str">
        <f>IF(F18="-","-",AVERAGE(F18:G18))</f>
        <v>-</v>
      </c>
      <c r="I18" s="90">
        <v>247</v>
      </c>
      <c r="J18" s="91">
        <v>21315</v>
      </c>
      <c r="K18" s="92">
        <f>IF(J18="-",0,I18*J18)</f>
        <v>5264805</v>
      </c>
      <c r="L18" s="93" t="str">
        <f>IF(H18="-","-",K18*H18)</f>
        <v>-</v>
      </c>
      <c r="M18" s="94" t="str">
        <f>IF($H18="-","-",(($K18/(-0.8+1)*((1/(1-$H18))^(-0.8+1)-1))))</f>
        <v>-</v>
      </c>
      <c r="N18" s="94" t="str">
        <f>IF($H18="-","-",(($K18/(-1.2+1)*((1/(1-$H18))^(-1.2+1)-1))))</f>
        <v>-</v>
      </c>
      <c r="O18" s="57"/>
      <c r="Q18"/>
      <c r="R18"/>
      <c r="S18"/>
    </row>
    <row r="19" spans="1:19" ht="42.75">
      <c r="A19" s="85" t="s">
        <v>250</v>
      </c>
      <c r="B19" s="85" t="s">
        <v>88</v>
      </c>
      <c r="C19" s="86" t="s">
        <v>83</v>
      </c>
      <c r="D19" s="87" t="s">
        <v>48</v>
      </c>
      <c r="E19" s="88" t="s">
        <v>49</v>
      </c>
      <c r="F19" s="89" t="str">
        <f>IF(E19="No aumenta",0,IF(E19="Pequeña",0,IF(E19="Moderada",0.1,IF(E19="Grande",0.4,IF(E19="Esencial",0.9,"-")))))</f>
        <v>-</v>
      </c>
      <c r="G19" s="89" t="str">
        <f>IF(E19="No aumenta",0,IF(E19="Pequeña",0.1,IF(E19="Moderada",0.4,IF(E19="Grande",0.9,IF(E19="Esencial",1,"-")))))</f>
        <v>-</v>
      </c>
      <c r="H19" s="89" t="str">
        <f>IF(F19="-","-",AVERAGE(F19:G19))</f>
        <v>-</v>
      </c>
      <c r="I19" s="90">
        <v>325.3</v>
      </c>
      <c r="J19" s="91">
        <f>350+3640</f>
        <v>3990</v>
      </c>
      <c r="K19" s="92">
        <f>IF(J19="-",0,I19*J19)</f>
        <v>1297947</v>
      </c>
      <c r="L19" s="93" t="str">
        <f>IF(H19="-","-",K19*H19)</f>
        <v>-</v>
      </c>
      <c r="M19" s="94" t="str">
        <f>IF($H19="-","-",(($K19/(-0.8+1)*((1/(1-$H19))^(-0.8+1)-1))))</f>
        <v>-</v>
      </c>
      <c r="N19" s="94" t="str">
        <f>IF($H19="-","-",(($K19/(-1.2+1)*((1/(1-$H19))^(-1.2+1)-1))))</f>
        <v>-</v>
      </c>
      <c r="O19" s="57"/>
      <c r="Q19"/>
      <c r="R19"/>
      <c r="S19"/>
    </row>
    <row r="20" spans="1:15" ht="29.25">
      <c r="A20" s="64" t="s">
        <v>246</v>
      </c>
      <c r="B20" s="64" t="s">
        <v>90</v>
      </c>
      <c r="C20" s="65" t="s">
        <v>91</v>
      </c>
      <c r="D20" s="66" t="s">
        <v>40</v>
      </c>
      <c r="E20" s="67" t="s">
        <v>35</v>
      </c>
      <c r="F20" s="68">
        <f>IF(E20="No aumenta",0,IF(E20="Pequeña",0,IF(E20="Moderada",0.1,IF(E20="Grande",0.4,IF(E20="Esencial",0.9,"-")))))</f>
        <v>0.4</v>
      </c>
      <c r="G20" s="68">
        <f>IF(E20="No aumenta",0,IF(E20="Pequeña",0.1,IF(E20="Moderada",0.4,IF(E20="Grande",0.9,IF(E20="Esencial",1,"-")))))</f>
        <v>0.9</v>
      </c>
      <c r="H20" s="68">
        <f>IF(F20="-","-",AVERAGE(F20:G20))</f>
        <v>0.65</v>
      </c>
      <c r="I20" s="69">
        <v>1344.2</v>
      </c>
      <c r="J20" s="70">
        <v>26898</v>
      </c>
      <c r="K20" s="71">
        <f>IF(J20="-",0,I20*J20)</f>
        <v>36156291.6</v>
      </c>
      <c r="L20" s="72">
        <f>IF(H20="-","-",K20*H20)</f>
        <v>23501589.540000003</v>
      </c>
      <c r="M20" s="73">
        <f>IF($H20="-","-",(($K20/(-0.8+1)*((1/(1-$H20))^(-0.8+1)-1))))</f>
        <v>42236726.34619633</v>
      </c>
      <c r="N20" s="73">
        <f>IF($H20="-","-",(($K20/(-1.2+1)*((1/(1-$H20))^(-1.2+1)-1))))</f>
        <v>34237642.96349682</v>
      </c>
      <c r="O20" s="57"/>
    </row>
    <row r="21" spans="1:15" ht="16.5">
      <c r="A21" s="134" t="s">
        <v>95</v>
      </c>
      <c r="B21" s="134" t="s">
        <v>96</v>
      </c>
      <c r="C21" s="135" t="s">
        <v>97</v>
      </c>
      <c r="D21" s="95" t="s">
        <v>50</v>
      </c>
      <c r="E21" s="136" t="s">
        <v>68</v>
      </c>
      <c r="F21" s="137">
        <v>0</v>
      </c>
      <c r="G21" s="137">
        <v>0</v>
      </c>
      <c r="H21" s="137">
        <v>0</v>
      </c>
      <c r="I21" s="138">
        <v>652.7</v>
      </c>
      <c r="J21" s="139">
        <v>262</v>
      </c>
      <c r="K21" s="140">
        <f>IF(J21="-",0,I21*J21)</f>
        <v>171007.40000000002</v>
      </c>
      <c r="L21" s="141">
        <f>IF(H21="-","-",K21*H21)</f>
        <v>0</v>
      </c>
      <c r="M21" s="142">
        <f>IF($H21="-","-",(($K21/(-0.8+1)*((1/(1-$H21))^(-0.8+1)-1))))</f>
        <v>0</v>
      </c>
      <c r="N21" s="142">
        <f>IF($H21="-","-",(($K21/(-1.2+1)*((1/(1-$H21))^(-1.2+1)-1))))</f>
        <v>0</v>
      </c>
      <c r="O21" s="57"/>
    </row>
    <row r="22" spans="1:15" ht="29.25">
      <c r="A22" s="85" t="s">
        <v>101</v>
      </c>
      <c r="B22" s="85" t="s">
        <v>102</v>
      </c>
      <c r="C22" s="86" t="s">
        <v>100</v>
      </c>
      <c r="D22" s="87" t="s">
        <v>48</v>
      </c>
      <c r="E22" s="88" t="s">
        <v>72</v>
      </c>
      <c r="F22" s="89">
        <v>0</v>
      </c>
      <c r="G22" s="89">
        <v>0.1</v>
      </c>
      <c r="H22" s="89">
        <v>0.05</v>
      </c>
      <c r="I22" s="90">
        <v>708.5</v>
      </c>
      <c r="J22" s="91">
        <v>2449</v>
      </c>
      <c r="K22" s="92">
        <f>IF(J22="-",0,I22*J22)</f>
        <v>1735116.5</v>
      </c>
      <c r="L22" s="93">
        <f>IF(H22="-","-",K22*H22)</f>
        <v>86755.82500000001</v>
      </c>
      <c r="M22" s="94">
        <f>IF($H22="-","-",(($K22/(-0.8+1)*((1/(1-$H22))^(-0.8+1)-1))))</f>
        <v>89457.91600814828</v>
      </c>
      <c r="N22" s="94">
        <f>IF($H22="-","-",(($K22/(-1.2+1)*((1/(1-$H22))^(-1.2+1)-1))))</f>
        <v>88544.88898754207</v>
      </c>
      <c r="O22" s="57"/>
    </row>
    <row r="23" spans="1:15" ht="29.25">
      <c r="A23" s="85" t="s">
        <v>103</v>
      </c>
      <c r="B23" s="85" t="s">
        <v>104</v>
      </c>
      <c r="C23" s="86" t="s">
        <v>105</v>
      </c>
      <c r="D23" s="87" t="s">
        <v>48</v>
      </c>
      <c r="E23" s="88" t="s">
        <v>35</v>
      </c>
      <c r="F23" s="89">
        <v>0.4</v>
      </c>
      <c r="G23" s="89">
        <v>0.9</v>
      </c>
      <c r="H23" s="89">
        <v>0.65</v>
      </c>
      <c r="I23" s="90">
        <v>371.5</v>
      </c>
      <c r="J23" s="91">
        <v>50</v>
      </c>
      <c r="K23" s="92">
        <f>IF(J23="-",0,I23*J23)</f>
        <v>18575</v>
      </c>
      <c r="L23" s="93">
        <f>IF(H23="-","-",K23*H23)</f>
        <v>12073.75</v>
      </c>
      <c r="M23" s="94">
        <f>IF($H23="-","-",(($K23/(-0.8+1)*((1/(1-$H23))^(-0.8+1)-1))))</f>
        <v>21698.773772490447</v>
      </c>
      <c r="N23" s="94">
        <f>IF($H23="-","-",(($K23/(-1.2+1)*((1/(1-$H23))^(-1.2+1)-1))))</f>
        <v>17589.309907185096</v>
      </c>
      <c r="O23" s="57"/>
    </row>
    <row r="24" spans="1:15" ht="29.25">
      <c r="A24" s="85" t="s">
        <v>106</v>
      </c>
      <c r="B24" s="85" t="s">
        <v>107</v>
      </c>
      <c r="C24" s="86" t="s">
        <v>108</v>
      </c>
      <c r="D24" s="87" t="s">
        <v>48</v>
      </c>
      <c r="E24" s="88" t="s">
        <v>79</v>
      </c>
      <c r="F24" s="89">
        <v>0.1</v>
      </c>
      <c r="G24" s="89">
        <v>0.4</v>
      </c>
      <c r="H24" s="89">
        <v>0.25</v>
      </c>
      <c r="I24" s="90">
        <v>524.4</v>
      </c>
      <c r="J24" s="91">
        <v>50</v>
      </c>
      <c r="K24" s="92">
        <f>IF(J24="-",0,I24*J24)</f>
        <v>26220</v>
      </c>
      <c r="L24" s="93">
        <f>IF(H24="-","-",K24*H24)</f>
        <v>6555</v>
      </c>
      <c r="M24" s="94">
        <f>IF($H24="-","-",(($K24/(-0.8+1)*((1/(1-$H24))^(-0.8+1)-1))))</f>
        <v>7764.245561499278</v>
      </c>
      <c r="N24" s="94">
        <f>IF($H24="-","-",(($K24/(-1.2+1)*((1/(1-$H24))^(-1.2+1)-1))))</f>
        <v>7330.127269238352</v>
      </c>
      <c r="O24" s="57"/>
    </row>
    <row r="25" spans="1:15" ht="16.5">
      <c r="A25" s="64" t="s">
        <v>109</v>
      </c>
      <c r="B25" s="64" t="s">
        <v>110</v>
      </c>
      <c r="C25" s="65" t="s">
        <v>111</v>
      </c>
      <c r="D25" s="66" t="s">
        <v>40</v>
      </c>
      <c r="E25" s="67" t="s">
        <v>79</v>
      </c>
      <c r="F25" s="68">
        <f>IF(E25="No aumenta",0,IF(E25="Pequeña",0,IF(E25="Moderada",0.1,IF(E25="Grande",0.4,IF(E25="Esencial",0.9,"-")))))</f>
        <v>0.1</v>
      </c>
      <c r="G25" s="68">
        <f>IF(E25="No aumenta",0,IF(E25="Pequeña",0.1,IF(E25="Moderada",0.4,IF(E25="Grande",0.9,IF(E25="Esencial",1,"-")))))</f>
        <v>0.4</v>
      </c>
      <c r="H25" s="68">
        <f>IF(F25="-","-",AVERAGE(F25:G25))</f>
        <v>0.25</v>
      </c>
      <c r="I25" s="69">
        <v>1167.4</v>
      </c>
      <c r="J25" s="70">
        <v>34</v>
      </c>
      <c r="K25" s="71">
        <f>IF(J25="-",0,I25*J25)</f>
        <v>39691.600000000006</v>
      </c>
      <c r="L25" s="72">
        <f>IF(H25="-","-",K25*H25)</f>
        <v>9922.900000000001</v>
      </c>
      <c r="M25" s="73">
        <f>IF($H25="-","-",(($K25/(-0.8+1)*((1/(1-$H25))^(-0.8+1)-1))))</f>
        <v>11753.445046865172</v>
      </c>
      <c r="N25" s="73">
        <f>IF($H25="-","-",(($K25/(-1.2+1)*((1/(1-$H25))^(-1.2+1)-1))))</f>
        <v>11096.280683436347</v>
      </c>
      <c r="O25" s="57"/>
    </row>
    <row r="26" spans="1:15" ht="42.75">
      <c r="A26" s="85" t="s">
        <v>112</v>
      </c>
      <c r="B26" s="85" t="s">
        <v>113</v>
      </c>
      <c r="C26" s="86" t="s">
        <v>114</v>
      </c>
      <c r="D26" s="87" t="s">
        <v>48</v>
      </c>
      <c r="E26" s="88" t="s">
        <v>62</v>
      </c>
      <c r="F26" s="89" t="s">
        <v>63</v>
      </c>
      <c r="G26" s="89" t="s">
        <v>63</v>
      </c>
      <c r="H26" s="89" t="s">
        <v>63</v>
      </c>
      <c r="I26" s="90">
        <v>1879.1</v>
      </c>
      <c r="J26" s="91">
        <v>270</v>
      </c>
      <c r="K26" s="92">
        <f>IF(J26="-",0,I26*J26)</f>
        <v>507357</v>
      </c>
      <c r="L26" s="93" t="str">
        <f>IF(H26="-","-",K26*H26)</f>
        <v>-</v>
      </c>
      <c r="M26" s="94" t="str">
        <f>IF($H26="-","-",(($K26/(-0.8+1)*((1/(1-$H26))^(-0.8+1)-1))))</f>
        <v>-</v>
      </c>
      <c r="N26" s="94" t="str">
        <f>IF($H26="-","-",(($K26/(-1.2+1)*((1/(1-$H26))^(-1.2+1)-1))))</f>
        <v>-</v>
      </c>
      <c r="O26" s="57"/>
    </row>
    <row r="27" spans="1:15" ht="16.5">
      <c r="A27" s="64" t="s">
        <v>118</v>
      </c>
      <c r="B27" s="64" t="s">
        <v>119</v>
      </c>
      <c r="C27" s="65" t="s">
        <v>120</v>
      </c>
      <c r="D27" s="66" t="s">
        <v>40</v>
      </c>
      <c r="E27" s="67" t="s">
        <v>68</v>
      </c>
      <c r="F27" s="68">
        <f>IF(E27="No aumenta",0,IF(E27="Pequeña",0,IF(E27="Moderada",0.1,IF(E27="Grande",0.4,IF(E27="Esencial",0.9,"-")))))</f>
        <v>0</v>
      </c>
      <c r="G27" s="68">
        <f>IF(E27="No aumenta",0,IF(E27="Pequeña",0.1,IF(E27="Moderada",0.4,IF(E27="Grande",0.9,IF(E27="Esencial",1,"-")))))</f>
        <v>0</v>
      </c>
      <c r="H27" s="68">
        <f>IF(F27="-","-",AVERAGE(F27:G27))</f>
        <v>0</v>
      </c>
      <c r="I27" s="69">
        <v>601</v>
      </c>
      <c r="J27" s="70">
        <f>147491+1325</f>
        <v>148816</v>
      </c>
      <c r="K27" s="71">
        <f>IF(J27="-",0,I27*J27)</f>
        <v>89438416</v>
      </c>
      <c r="L27" s="72">
        <f>IF(H27="-","-",K27*H27)</f>
        <v>0</v>
      </c>
      <c r="M27" s="73">
        <f>IF($H27="-","-",(($K27/(-0.8+1)*((1/(1-$H27))^(-0.8+1)-1))))</f>
        <v>0</v>
      </c>
      <c r="N27" s="73">
        <f>IF($H27="-","-",(($K27/(-1.2+1)*((1/(1-$H27))^(-1.2+1)-1))))</f>
        <v>0</v>
      </c>
      <c r="O27" s="57"/>
    </row>
    <row r="28" spans="1:15" ht="29.25">
      <c r="A28" s="47" t="s">
        <v>121</v>
      </c>
      <c r="B28" s="47" t="s">
        <v>122</v>
      </c>
      <c r="C28" s="48" t="s">
        <v>123</v>
      </c>
      <c r="D28" s="49" t="s">
        <v>34</v>
      </c>
      <c r="E28" s="50" t="s">
        <v>68</v>
      </c>
      <c r="F28" s="51">
        <f>IF(E28="No aumenta",0,IF(E28="Pequeña",0,IF(E28="Moderada",0.1,IF(E28="Grande",0.4,IF(E28="Esencial",0.9,"-")))))</f>
        <v>0</v>
      </c>
      <c r="G28" s="51">
        <f>IF(E28="No aumenta",0,IF(E28="Pequeña",0.1,IF(E28="Moderada",0.4,IF(E28="Grande",0.9,IF(E28="Esencial",1,"-")))))</f>
        <v>0</v>
      </c>
      <c r="H28" s="51">
        <f>IF(F28="-","-",AVERAGE(F28:G28))</f>
        <v>0</v>
      </c>
      <c r="I28" s="157">
        <v>1668.3</v>
      </c>
      <c r="J28" s="158">
        <v>35</v>
      </c>
      <c r="K28" s="54">
        <f>IF(J28="-",0,I28*J28)</f>
        <v>58390.5</v>
      </c>
      <c r="L28" s="55">
        <f>IF(H28="-","-",K28*H28)</f>
        <v>0</v>
      </c>
      <c r="M28" s="56">
        <f>IF($H28="-","-",(($K28/(-0.8+1)*((1/(1-$H28))^(-0.8+1)-1))))</f>
        <v>0</v>
      </c>
      <c r="N28" s="56">
        <f>IF($H28="-","-",(($K28/(-1.2+1)*((1/(1-$H28))^(-1.2+1)-1))))</f>
        <v>0</v>
      </c>
      <c r="O28" s="57"/>
    </row>
    <row r="29" spans="1:15" ht="16.5">
      <c r="A29" s="134" t="s">
        <v>134</v>
      </c>
      <c r="B29" s="134" t="s">
        <v>135</v>
      </c>
      <c r="C29" s="135" t="s">
        <v>136</v>
      </c>
      <c r="D29" s="95" t="s">
        <v>50</v>
      </c>
      <c r="E29" s="136" t="s">
        <v>68</v>
      </c>
      <c r="F29" s="137">
        <v>0</v>
      </c>
      <c r="G29" s="137">
        <v>0</v>
      </c>
      <c r="H29" s="137">
        <v>0</v>
      </c>
      <c r="I29" s="138">
        <v>761.9</v>
      </c>
      <c r="J29" s="139">
        <v>484</v>
      </c>
      <c r="K29" s="140">
        <f>IF(J29="-",0,I29*J29)</f>
        <v>368759.6</v>
      </c>
      <c r="L29" s="141">
        <f>IF(H29="-","-",K29*H29)</f>
        <v>0</v>
      </c>
      <c r="M29" s="142">
        <f>IF($H29="-","-",(($K29/(-0.8+1)*((1/(1-$H29))^(-0.8+1)-1))))</f>
        <v>0</v>
      </c>
      <c r="N29" s="142">
        <f>IF($H29="-","-",(($K29/(-1.2+1)*((1/(1-$H29))^(-1.2+1)-1))))</f>
        <v>0</v>
      </c>
      <c r="O29" s="57"/>
    </row>
    <row r="30" spans="1:15" ht="42.75">
      <c r="A30" s="85" t="s">
        <v>137</v>
      </c>
      <c r="B30" s="85" t="s">
        <v>138</v>
      </c>
      <c r="C30" s="86" t="s">
        <v>139</v>
      </c>
      <c r="D30" s="87" t="s">
        <v>48</v>
      </c>
      <c r="E30" s="88" t="s">
        <v>49</v>
      </c>
      <c r="F30" s="89" t="str">
        <f>IF(E30="No aumenta",0,IF(E30="Pequeña",0,IF(E30="Moderada",0.1,IF(E30="Grande",0.4,IF(E30="Esencial",0.9,"-")))))</f>
        <v>-</v>
      </c>
      <c r="G30" s="89" t="str">
        <f>IF(E30="No aumenta",0,IF(E30="Pequeña",0.1,IF(E30="Moderada",0.4,IF(E30="Grande",0.9,IF(E30="Esencial",1,"-")))))</f>
        <v>-</v>
      </c>
      <c r="H30" s="89" t="str">
        <f>IF(F30="-","-",AVERAGE(F30:G30))</f>
        <v>-</v>
      </c>
      <c r="I30" s="90">
        <v>300</v>
      </c>
      <c r="J30" s="91">
        <v>2000</v>
      </c>
      <c r="K30" s="92">
        <f>IF(J30="-",0,I30*J30)</f>
        <v>600000</v>
      </c>
      <c r="L30" s="93" t="str">
        <f>IF(H30="-","-",K30*H30)</f>
        <v>-</v>
      </c>
      <c r="M30" s="94" t="str">
        <f>IF($H30="-","-",(($K30/(-0.8+1)*((1/(1-$H30))^(-0.8+1)-1))))</f>
        <v>-</v>
      </c>
      <c r="N30" s="94" t="str">
        <f>IF($H30="-","-",(($K30/(-1.2+1)*((1/(1-$H30))^(-1.2+1)-1))))</f>
        <v>-</v>
      </c>
      <c r="O30" s="57"/>
    </row>
    <row r="31" spans="1:15" ht="16.5">
      <c r="A31" s="119" t="s">
        <v>143</v>
      </c>
      <c r="B31" s="119" t="s">
        <v>144</v>
      </c>
      <c r="C31" s="120" t="s">
        <v>145</v>
      </c>
      <c r="D31" s="121" t="s">
        <v>36</v>
      </c>
      <c r="E31" s="122" t="s">
        <v>68</v>
      </c>
      <c r="F31" s="123">
        <v>0</v>
      </c>
      <c r="G31" s="123">
        <v>0</v>
      </c>
      <c r="H31" s="123">
        <v>0</v>
      </c>
      <c r="I31" s="124">
        <v>216.9</v>
      </c>
      <c r="J31" s="125">
        <v>844551</v>
      </c>
      <c r="K31" s="126">
        <f>IF(J31="-",0,I31*J31)</f>
        <v>183183111.9</v>
      </c>
      <c r="L31" s="127">
        <f>IF(H31="-","-",K31*H31)</f>
        <v>0</v>
      </c>
      <c r="M31" s="128">
        <f>IF($H31="-","-",(($K31/(-0.8+1)*((1/(1-$H31))^(-0.8+1)-1))))</f>
        <v>0</v>
      </c>
      <c r="N31" s="128">
        <f>IF($H31="-","-",(($K31/(-1.2+1)*((1/(1-$H31))^(-1.2+1)-1))))</f>
        <v>0</v>
      </c>
      <c r="O31" s="57"/>
    </row>
    <row r="32" spans="1:15" ht="16.5">
      <c r="A32" s="119" t="s">
        <v>149</v>
      </c>
      <c r="B32" s="119" t="s">
        <v>150</v>
      </c>
      <c r="C32" s="120" t="s">
        <v>151</v>
      </c>
      <c r="D32" s="121" t="s">
        <v>36</v>
      </c>
      <c r="E32" s="122" t="s">
        <v>68</v>
      </c>
      <c r="F32" s="123">
        <v>0</v>
      </c>
      <c r="G32" s="123">
        <v>0</v>
      </c>
      <c r="H32" s="123">
        <v>0</v>
      </c>
      <c r="I32" s="124">
        <v>181.5</v>
      </c>
      <c r="J32" s="125">
        <v>44236</v>
      </c>
      <c r="K32" s="126">
        <f>IF(J32="-",0,I32*J32)</f>
        <v>8028834</v>
      </c>
      <c r="L32" s="127">
        <f>IF(H32="-","-",K32*H32)</f>
        <v>0</v>
      </c>
      <c r="M32" s="128">
        <f>IF($H32="-","-",(($K32/(-0.8+1)*((1/(1-$H32))^(-0.8+1)-1))))</f>
        <v>0</v>
      </c>
      <c r="N32" s="128">
        <f>IF($H32="-","-",(($K32/(-1.2+1)*((1/(1-$H32))^(-1.2+1)-1))))</f>
        <v>0</v>
      </c>
      <c r="O32" s="57"/>
    </row>
    <row r="33" spans="1:15" ht="16.5">
      <c r="A33" s="174" t="s">
        <v>152</v>
      </c>
      <c r="B33" s="174" t="s">
        <v>153</v>
      </c>
      <c r="C33" s="175" t="s">
        <v>154</v>
      </c>
      <c r="D33" s="79" t="s">
        <v>44</v>
      </c>
      <c r="E33" s="176" t="s">
        <v>68</v>
      </c>
      <c r="F33" s="177">
        <f>IF(E33="No aumenta",0,IF(E33="Pequeña",0,IF(E33="Moderada",0.1,IF(E33="Grande",0.4,IF(E33="Esencial",0.9,"-")))))</f>
        <v>0</v>
      </c>
      <c r="G33" s="177">
        <f>IF(E33="No aumenta",0,IF(E33="Pequeña",0.1,IF(E33="Moderada",0.4,IF(E33="Grande",0.9,IF(E33="Esencial",1,"-")))))</f>
        <v>0</v>
      </c>
      <c r="H33" s="177">
        <f>IF(F33="-","-",AVERAGE(F33:G33))</f>
        <v>0</v>
      </c>
      <c r="I33" s="178">
        <v>396.6</v>
      </c>
      <c r="J33" s="179">
        <v>49830</v>
      </c>
      <c r="K33" s="180">
        <f>IF(J33="-",0,I33*J33)</f>
        <v>19762578</v>
      </c>
      <c r="L33" s="181">
        <f>IF(H33="-","-",K33*H33)</f>
        <v>0</v>
      </c>
      <c r="M33" s="182">
        <f>IF($H33="-","-",(($K33/(-0.8+1)*((1/(1-$H33))^(-0.8+1)-1))))</f>
        <v>0</v>
      </c>
      <c r="N33" s="182">
        <f>IF($H33="-","-",(($K33/(-1.2+1)*((1/(1-$H33))^(-1.2+1)-1))))</f>
        <v>0</v>
      </c>
      <c r="O33" s="57"/>
    </row>
    <row r="34" spans="1:15" ht="42.75">
      <c r="A34" s="85" t="s">
        <v>158</v>
      </c>
      <c r="B34" s="85" t="s">
        <v>159</v>
      </c>
      <c r="C34" s="86" t="s">
        <v>157</v>
      </c>
      <c r="D34" s="87" t="s">
        <v>48</v>
      </c>
      <c r="E34" s="88" t="s">
        <v>49</v>
      </c>
      <c r="F34" s="89" t="s">
        <v>63</v>
      </c>
      <c r="G34" s="89" t="s">
        <v>63</v>
      </c>
      <c r="H34" s="89" t="s">
        <v>63</v>
      </c>
      <c r="I34" s="90">
        <v>174.9</v>
      </c>
      <c r="J34" s="91">
        <v>30223</v>
      </c>
      <c r="K34" s="92">
        <f>IF(J34="-",0,I34*J34)</f>
        <v>5286002.7</v>
      </c>
      <c r="L34" s="93" t="str">
        <f>IF(H34="-","-",K34*H34)</f>
        <v>-</v>
      </c>
      <c r="M34" s="94" t="str">
        <f>IF($H34="-","-",(($K34/(-0.8+1)*((1/(1-$H34))^(-0.8+1)-1))))</f>
        <v>-</v>
      </c>
      <c r="N34" s="94" t="str">
        <f>IF($H34="-","-",(($K34/(-1.2+1)*((1/(1-$H34))^(-1.2+1)-1))))</f>
        <v>-</v>
      </c>
      <c r="O34" s="57"/>
    </row>
    <row r="35" spans="1:15" ht="56.25">
      <c r="A35" s="85" t="s">
        <v>163</v>
      </c>
      <c r="B35" s="85" t="s">
        <v>164</v>
      </c>
      <c r="C35" s="86" t="s">
        <v>165</v>
      </c>
      <c r="D35" s="87" t="s">
        <v>48</v>
      </c>
      <c r="E35" s="88" t="s">
        <v>130</v>
      </c>
      <c r="F35" s="89">
        <f>IF(E35="No aumenta",0,IF(E35="Pequeña",0,IF(E35="Moderada",0.1,IF(E35="Grande",0.4,IF(E35="Esencial",0.9,"-")))))</f>
        <v>0.9</v>
      </c>
      <c r="G35" s="89">
        <f>IF(E35="No aumenta",0,IF(E35="Pequeña",0.1,IF(E35="Moderada",0.4,IF(E35="Grande",0.9,IF(E35="Esencial",1,"-")))))</f>
        <v>1</v>
      </c>
      <c r="H35" s="89">
        <f>IF(F35="-","-",AVERAGE(F35:G35))</f>
        <v>0.95</v>
      </c>
      <c r="I35" s="90">
        <v>259.9</v>
      </c>
      <c r="J35" s="91">
        <v>14</v>
      </c>
      <c r="K35" s="92">
        <f>IF(J35="-",0,I35*J35)</f>
        <v>3638.5999999999995</v>
      </c>
      <c r="L35" s="93">
        <f>IF(H35="-","-",K35*H35)</f>
        <v>3456.669999999999</v>
      </c>
      <c r="M35" s="94">
        <f>IF($H35="-","-",(($K35/(-0.8+1)*((1/(1-$H35))^(-0.8+1)-1))))</f>
        <v>14928.52454565347</v>
      </c>
      <c r="N35" s="94">
        <f>IF($H35="-","-",(($K35/(-1.2+1)*((1/(1-$H35))^(-1.2+1)-1))))</f>
        <v>8199.944017815897</v>
      </c>
      <c r="O35" s="57"/>
    </row>
    <row r="36" spans="1:15" ht="42.75">
      <c r="A36" s="64" t="s">
        <v>166</v>
      </c>
      <c r="B36" s="64" t="s">
        <v>167</v>
      </c>
      <c r="C36" s="65" t="s">
        <v>168</v>
      </c>
      <c r="D36" s="66" t="s">
        <v>40</v>
      </c>
      <c r="E36" s="67" t="s">
        <v>35</v>
      </c>
      <c r="F36" s="68">
        <v>0.4</v>
      </c>
      <c r="G36" s="68">
        <v>0.9</v>
      </c>
      <c r="H36" s="68">
        <v>0.65</v>
      </c>
      <c r="I36" s="69">
        <v>532.1</v>
      </c>
      <c r="J36" s="70">
        <f>189757+119510</f>
        <v>309267</v>
      </c>
      <c r="K36" s="71">
        <f>IF(J36="-",0,I36*J36)</f>
        <v>164560970.70000002</v>
      </c>
      <c r="L36" s="72">
        <f>IF(H36="-","-",K36*H36)</f>
        <v>106964630.95500001</v>
      </c>
      <c r="M36" s="73">
        <f>IF($H36="-","-",(($K36/(-0.8+1)*((1/(1-$H36))^(-0.8+1)-1))))</f>
        <v>192235331.09021425</v>
      </c>
      <c r="N36" s="73">
        <f>IF($H36="-","-",(($K36/(-1.2+1)*((1/(1-$H36))^(-1.2+1)-1))))</f>
        <v>155828474.41558582</v>
      </c>
      <c r="O36" s="57"/>
    </row>
    <row r="37" spans="1:15" ht="16.5">
      <c r="A37" s="64" t="s">
        <v>169</v>
      </c>
      <c r="B37" s="64" t="s">
        <v>170</v>
      </c>
      <c r="C37" s="65" t="s">
        <v>171</v>
      </c>
      <c r="D37" s="66" t="s">
        <v>40</v>
      </c>
      <c r="E37" s="67" t="s">
        <v>35</v>
      </c>
      <c r="F37" s="68">
        <v>0.4</v>
      </c>
      <c r="G37" s="68">
        <v>0.9</v>
      </c>
      <c r="H37" s="68">
        <v>0.65</v>
      </c>
      <c r="I37" s="69">
        <v>427.4</v>
      </c>
      <c r="J37" s="70">
        <v>63097</v>
      </c>
      <c r="K37" s="71">
        <f>IF(J37="-",0,I37*J37)</f>
        <v>26967657.799999997</v>
      </c>
      <c r="L37" s="72">
        <f>IF(H37="-","-",K37*H37)</f>
        <v>17528977.57</v>
      </c>
      <c r="M37" s="73">
        <f>IF($H37="-","-",(($K37/(-0.8+1)*((1/(1-$H37))^(-0.8+1)-1))))</f>
        <v>31502832.074085463</v>
      </c>
      <c r="N37" s="73">
        <f>IF($H37="-","-",(($K37/(-1.2+1)*((1/(1-$H37))^(-1.2+1)-1))))</f>
        <v>25536607.833922878</v>
      </c>
      <c r="O37" s="57"/>
    </row>
    <row r="38" spans="1:15" ht="29.25">
      <c r="A38" s="134" t="s">
        <v>172</v>
      </c>
      <c r="B38" s="134" t="s">
        <v>173</v>
      </c>
      <c r="C38" s="135" t="s">
        <v>174</v>
      </c>
      <c r="D38" s="95" t="s">
        <v>50</v>
      </c>
      <c r="E38" s="136" t="s">
        <v>68</v>
      </c>
      <c r="F38" s="137">
        <f>IF(E38="No aumenta",0,IF(E38="Pequeña",0,IF(E38="Moderada",0.1,IF(E38="Grande",0.4,IF(E38="Esencial",0.9,"-")))))</f>
        <v>0</v>
      </c>
      <c r="G38" s="137">
        <f>IF(E38="No aumenta",0,IF(E38="Pequeña",0.1,IF(E38="Moderada",0.4,IF(E38="Grande",0.9,IF(E38="Esencial",1,"-")))))</f>
        <v>0</v>
      </c>
      <c r="H38" s="137">
        <f>IF(F38="-","-",AVERAGE(F38:G38))</f>
        <v>0</v>
      </c>
      <c r="I38" s="138">
        <v>223.6</v>
      </c>
      <c r="J38" s="139">
        <v>40471</v>
      </c>
      <c r="K38" s="140">
        <f>IF(J38="-",0,I38*J38)</f>
        <v>9049315.6</v>
      </c>
      <c r="L38" s="141">
        <f>IF(H38="-","-",K38*H38)</f>
        <v>0</v>
      </c>
      <c r="M38" s="142">
        <f>IF($H38="-","-",(($K38/(-0.8+1)*((1/(1-$H38))^(-0.8+1)-1))))</f>
        <v>0</v>
      </c>
      <c r="N38" s="142">
        <f>IF($H38="-","-",(($K38/(-1.2+1)*((1/(1-$H38))^(-1.2+1)-1))))</f>
        <v>0</v>
      </c>
      <c r="O38" s="57"/>
    </row>
    <row r="39" spans="1:15" ht="29.25">
      <c r="A39" s="85" t="s">
        <v>175</v>
      </c>
      <c r="B39" s="85" t="s">
        <v>176</v>
      </c>
      <c r="C39" s="86" t="s">
        <v>174</v>
      </c>
      <c r="D39" s="87" t="s">
        <v>48</v>
      </c>
      <c r="E39" s="88" t="s">
        <v>68</v>
      </c>
      <c r="F39" s="89">
        <f>IF(E39="No aumenta",0,IF(E39="Pequeña",0,IF(E39="Moderada",0.1,IF(E39="Grande",0.4,IF(E39="Esencial",0.9,"-")))))</f>
        <v>0</v>
      </c>
      <c r="G39" s="89">
        <f>IF(E39="No aumenta",0,IF(E39="Pequeña",0.1,IF(E39="Moderada",0.4,IF(E39="Grande",0.9,IF(E39="Esencial",1,"-")))))</f>
        <v>0</v>
      </c>
      <c r="H39" s="89">
        <f>IF(F39="-","-",AVERAGE(F39:G39))</f>
        <v>0</v>
      </c>
      <c r="I39" s="90">
        <v>1847.6</v>
      </c>
      <c r="J39" s="91">
        <v>29295</v>
      </c>
      <c r="K39" s="92">
        <f>IF(J39="-",0,I39*J39)</f>
        <v>54125442</v>
      </c>
      <c r="L39" s="93">
        <f>IF(H39="-","-",K39*H39)</f>
        <v>0</v>
      </c>
      <c r="M39" s="94">
        <f>IF($H39="-","-",(($K39/(-0.8+1)*((1/(1-$H39))^(-0.8+1)-1))))</f>
        <v>0</v>
      </c>
      <c r="N39" s="94">
        <f>IF($H39="-","-",(($K39/(-1.2+1)*((1/(1-$H39))^(-1.2+1)-1))))</f>
        <v>0</v>
      </c>
      <c r="O39" s="57"/>
    </row>
    <row r="40" spans="1:15" ht="29.25">
      <c r="A40" s="64" t="s">
        <v>177</v>
      </c>
      <c r="B40" s="64" t="s">
        <v>178</v>
      </c>
      <c r="C40" s="65" t="s">
        <v>179</v>
      </c>
      <c r="D40" s="66" t="s">
        <v>40</v>
      </c>
      <c r="E40" s="67" t="s">
        <v>35</v>
      </c>
      <c r="F40" s="68">
        <v>0.4</v>
      </c>
      <c r="G40" s="68">
        <v>0.9</v>
      </c>
      <c r="H40" s="68">
        <v>0.65</v>
      </c>
      <c r="I40" s="69">
        <v>471.3</v>
      </c>
      <c r="J40" s="70">
        <v>7839</v>
      </c>
      <c r="K40" s="71">
        <f>IF(J40="-",0,I40*J40)</f>
        <v>3694520.7</v>
      </c>
      <c r="L40" s="72">
        <f>IF(H40="-","-",K40*H40)</f>
        <v>2401438.455</v>
      </c>
      <c r="M40" s="73">
        <f>IF($H40="-","-",(($K40/(-0.8+1)*((1/(1-$H40))^(-0.8+1)-1))))</f>
        <v>4315831.432951981</v>
      </c>
      <c r="N40" s="73">
        <f>IF($H40="-","-",(($K40/(-1.2+1)*((1/(1-$H40))^(-1.2+1)-1))))</f>
        <v>3498469.424000561</v>
      </c>
      <c r="O40" s="57"/>
    </row>
    <row r="41" spans="1:15" ht="42.75">
      <c r="A41" s="183" t="s">
        <v>180</v>
      </c>
      <c r="B41" s="183" t="s">
        <v>181</v>
      </c>
      <c r="C41" s="184" t="s">
        <v>182</v>
      </c>
      <c r="D41" s="101" t="s">
        <v>54</v>
      </c>
      <c r="E41" s="185" t="s">
        <v>62</v>
      </c>
      <c r="F41" s="186" t="s">
        <v>63</v>
      </c>
      <c r="G41" s="186" t="s">
        <v>63</v>
      </c>
      <c r="H41" s="186" t="s">
        <v>63</v>
      </c>
      <c r="I41" s="187">
        <v>212.7</v>
      </c>
      <c r="J41" s="188">
        <v>9924</v>
      </c>
      <c r="K41" s="189">
        <f>IF(J41="-",0,I41*J41)</f>
        <v>2110834.8</v>
      </c>
      <c r="L41" s="190" t="str">
        <f>IF(H41="-","-",K41*H41)</f>
        <v>-</v>
      </c>
      <c r="M41" s="191" t="str">
        <f>IF($H41="-","-",(($K41/(-0.8+1)*((1/(1-$H41))^(-0.8+1)-1))))</f>
        <v>-</v>
      </c>
      <c r="N41" s="191" t="str">
        <f>IF($H41="-","-",(($K41/(-1.2+1)*((1/(1-$H41))^(-1.2+1)-1))))</f>
        <v>-</v>
      </c>
      <c r="O41" s="57"/>
    </row>
    <row r="42" spans="1:15" ht="42.75">
      <c r="A42" s="85" t="s">
        <v>251</v>
      </c>
      <c r="B42" s="85" t="s">
        <v>184</v>
      </c>
      <c r="C42" s="86" t="s">
        <v>185</v>
      </c>
      <c r="D42" s="87" t="s">
        <v>48</v>
      </c>
      <c r="E42" s="88" t="s">
        <v>130</v>
      </c>
      <c r="F42" s="89">
        <f>IF(E42="No aumenta",0,IF(E42="Pequeña",0,IF(E42="Moderada",0.1,IF(E42="Grande",0.4,IF(E42="Esencial",0.9,"-")))))</f>
        <v>0.9</v>
      </c>
      <c r="G42" s="89">
        <f>IF(E42="No aumenta",0,IF(E42="Pequeña",0.1,IF(E42="Moderada",0.4,IF(E42="Grande",0.9,IF(E42="Esencial",1,"-")))))</f>
        <v>1</v>
      </c>
      <c r="H42" s="89">
        <f>IF(F42="-","-",AVERAGE(F42:G42))</f>
        <v>0.95</v>
      </c>
      <c r="I42" s="90">
        <v>333.5</v>
      </c>
      <c r="J42" s="91">
        <v>270</v>
      </c>
      <c r="K42" s="92">
        <f>IF(J42="-",0,I42*J42)</f>
        <v>90045</v>
      </c>
      <c r="L42" s="93">
        <f>IF(H42="-","-",K42*H42)</f>
        <v>85542.75</v>
      </c>
      <c r="M42" s="94">
        <f>IF($H42="-","-",(($K42/(-0.8+1)*((1/(1-$H42))^(-0.8+1)-1))))</f>
        <v>369438.5183074169</v>
      </c>
      <c r="N42" s="94">
        <f>IF($H42="-","-",(($K42/(-1.2+1)*((1/(1-$H42))^(-1.2+1)-1))))</f>
        <v>202925.28969500156</v>
      </c>
      <c r="O42" s="57"/>
    </row>
    <row r="43" spans="1:15" ht="16.5">
      <c r="A43" s="64" t="s">
        <v>186</v>
      </c>
      <c r="B43" s="64" t="s">
        <v>187</v>
      </c>
      <c r="C43" s="192" t="s">
        <v>188</v>
      </c>
      <c r="D43" s="66" t="s">
        <v>40</v>
      </c>
      <c r="E43" s="67" t="s">
        <v>35</v>
      </c>
      <c r="F43" s="68">
        <v>0.4</v>
      </c>
      <c r="G43" s="68">
        <v>0.9</v>
      </c>
      <c r="H43" s="68">
        <v>0.65</v>
      </c>
      <c r="I43" s="69">
        <v>316.1</v>
      </c>
      <c r="J43" s="70">
        <v>81</v>
      </c>
      <c r="K43" s="71">
        <f>IF(J43="-",0,I43*J43)</f>
        <v>25604.100000000002</v>
      </c>
      <c r="L43" s="72">
        <f>IF(H43="-","-",K43*H43)</f>
        <v>16642.665</v>
      </c>
      <c r="M43" s="73">
        <f>IF($H43="-","-",(($K43/(-0.8+1)*((1/(1-$H43))^(-0.8+1)-1))))</f>
        <v>29909.963582676864</v>
      </c>
      <c r="N43" s="73">
        <f>IF($H43="-","-",(($K43/(-1.2+1)*((1/(1-$H43))^(-1.2+1)-1))))</f>
        <v>24245.407795130985</v>
      </c>
      <c r="O43" s="57"/>
    </row>
    <row r="44" spans="1:15" ht="16.5">
      <c r="A44" s="174" t="s">
        <v>189</v>
      </c>
      <c r="B44" s="174" t="s">
        <v>190</v>
      </c>
      <c r="C44" s="193" t="s">
        <v>191</v>
      </c>
      <c r="D44" s="79" t="s">
        <v>44</v>
      </c>
      <c r="E44" s="176" t="s">
        <v>79</v>
      </c>
      <c r="F44" s="177">
        <f>IF(E44="No aumenta",0,IF(E44="Pequeña",0,IF(E44="Moderada",0.1,IF(E44="Grande",0.4,IF(E44="Esencial",0.9,"-")))))</f>
        <v>0.1</v>
      </c>
      <c r="G44" s="177">
        <f>IF(E44="No aumenta",0,IF(E44="Pequeña",0.1,IF(E44="Moderada",0.4,IF(E44="Grande",0.9,IF(E44="Esencial",1,"-")))))</f>
        <v>0.4</v>
      </c>
      <c r="H44" s="177">
        <f>IF(F44="-","-",AVERAGE(F44:G44))</f>
        <v>0.25</v>
      </c>
      <c r="I44" s="178">
        <v>283.3</v>
      </c>
      <c r="J44" s="179">
        <v>4448</v>
      </c>
      <c r="K44" s="180">
        <f>IF(J44="-",0,I44*J44)</f>
        <v>1260118.4000000001</v>
      </c>
      <c r="L44" s="181">
        <f>IF(H44="-","-",K44*H44)</f>
        <v>315029.60000000003</v>
      </c>
      <c r="M44" s="182">
        <f>IF($H44="-","-",(($K44/(-0.8+1)*((1/(1-$H44))^(-0.8+1)-1))))</f>
        <v>373145.2591214177</v>
      </c>
      <c r="N44" s="182">
        <f>IF($H44="-","-",(($K44/(-1.2+1)*((1/(1-$H44))^(-1.2+1)-1))))</f>
        <v>352281.77903543104</v>
      </c>
      <c r="O44" s="57"/>
    </row>
    <row r="45" spans="1:15" ht="16.5">
      <c r="A45" s="119" t="s">
        <v>195</v>
      </c>
      <c r="B45" s="119" t="s">
        <v>196</v>
      </c>
      <c r="C45" s="120" t="s">
        <v>197</v>
      </c>
      <c r="D45" s="121" t="s">
        <v>36</v>
      </c>
      <c r="E45" s="194" t="s">
        <v>68</v>
      </c>
      <c r="F45" s="123">
        <v>0</v>
      </c>
      <c r="G45" s="123">
        <v>0</v>
      </c>
      <c r="H45" s="123">
        <v>0</v>
      </c>
      <c r="I45" s="124">
        <v>276.1</v>
      </c>
      <c r="J45" s="125">
        <v>78689</v>
      </c>
      <c r="K45" s="126">
        <f>IF(J45="-",0,I45*J45)</f>
        <v>21726032.900000002</v>
      </c>
      <c r="L45" s="127">
        <f>IF(H45="-","-",K45*H45)</f>
        <v>0</v>
      </c>
      <c r="M45" s="128">
        <f>IF($H45="-","-",(($K45/(-0.8+1)*((1/(1-$H45))^(-0.8+1)-1))))</f>
        <v>0</v>
      </c>
      <c r="N45" s="128">
        <f>IF($H45="-","-",(($K45/(-1.2+1)*((1/(1-$H45))^(-1.2+1)-1))))</f>
        <v>0</v>
      </c>
      <c r="O45" s="57"/>
    </row>
    <row r="46" spans="1:15" ht="16.5">
      <c r="A46" s="119" t="s">
        <v>198</v>
      </c>
      <c r="B46" s="119" t="s">
        <v>199</v>
      </c>
      <c r="C46" s="120" t="s">
        <v>200</v>
      </c>
      <c r="D46" s="121" t="s">
        <v>36</v>
      </c>
      <c r="E46" s="122" t="s">
        <v>68</v>
      </c>
      <c r="F46" s="123">
        <f>IF(E46="No aumenta",0,IF(E46="Pequeña",0,IF(E46="Moderada",0.1,IF(E46="Grande",0.4,IF(E46="Esencial",0.9,"-")))))</f>
        <v>0</v>
      </c>
      <c r="G46" s="123">
        <f>IF(E46="No aumenta",0,IF(E46="Pequeña",0.1,IF(E46="Moderada",0.4,IF(E46="Grande",0.9,IF(E46="Esencial",1,"-")))))</f>
        <v>0</v>
      </c>
      <c r="H46" s="123">
        <f>IF(F46="-","-",AVERAGE(F46:G46))</f>
        <v>0</v>
      </c>
      <c r="I46" s="124">
        <v>183.6</v>
      </c>
      <c r="J46" s="125">
        <v>23755</v>
      </c>
      <c r="K46" s="126">
        <f>IF(J46="-",0,I46*J46)</f>
        <v>4361418</v>
      </c>
      <c r="L46" s="127">
        <f>IF(H46="-","-",K46*H46)</f>
        <v>0</v>
      </c>
      <c r="M46" s="128">
        <f>IF($H46="-","-",(($K46/(-0.8+1)*((1/(1-$H46))^(-0.8+1)-1))))</f>
        <v>0</v>
      </c>
      <c r="N46" s="128">
        <f>IF($H46="-","-",(($K46/(-1.2+1)*((1/(1-$H46))^(-1.2+1)-1))))</f>
        <v>0</v>
      </c>
      <c r="O46" s="57"/>
    </row>
    <row r="47" spans="1:15" ht="16.5">
      <c r="A47" s="174" t="s">
        <v>201</v>
      </c>
      <c r="B47" s="174" t="s">
        <v>202</v>
      </c>
      <c r="C47" s="195" t="s">
        <v>203</v>
      </c>
      <c r="D47" s="196" t="s">
        <v>44</v>
      </c>
      <c r="E47" s="177" t="s">
        <v>72</v>
      </c>
      <c r="F47" s="177">
        <v>0</v>
      </c>
      <c r="G47" s="177">
        <v>0.1</v>
      </c>
      <c r="H47" s="177">
        <v>0.05</v>
      </c>
      <c r="I47" s="178">
        <v>311.7</v>
      </c>
      <c r="J47" s="179">
        <v>31</v>
      </c>
      <c r="K47" s="180">
        <f>IF(J47="-",0,I47*J47)</f>
        <v>9662.699999999999</v>
      </c>
      <c r="L47" s="181">
        <f>IF(H47="-","-",K47*H47)</f>
        <v>483.135</v>
      </c>
      <c r="M47" s="182">
        <f>IF($H47="-","-",(($K47/(-0.8+1)*((1/(1-$H47))^(-0.8+1)-1))))</f>
        <v>498.1826897571053</v>
      </c>
      <c r="N47" s="182">
        <f>IF($H47="-","-",(($K47/(-1.2+1)*((1/(1-$H47))^(-1.2+1)-1))))</f>
        <v>493.09812846568093</v>
      </c>
      <c r="O47" s="57"/>
    </row>
    <row r="48" spans="1:15" ht="16.5">
      <c r="A48" s="174" t="s">
        <v>210</v>
      </c>
      <c r="B48" s="174" t="s">
        <v>211</v>
      </c>
      <c r="C48" s="175" t="s">
        <v>212</v>
      </c>
      <c r="D48" s="79" t="s">
        <v>44</v>
      </c>
      <c r="E48" s="176" t="s">
        <v>79</v>
      </c>
      <c r="F48" s="177">
        <v>0.1</v>
      </c>
      <c r="G48" s="177">
        <v>0.4</v>
      </c>
      <c r="H48" s="177">
        <v>0.25</v>
      </c>
      <c r="I48" s="178">
        <v>336.1</v>
      </c>
      <c r="J48" s="179">
        <v>52</v>
      </c>
      <c r="K48" s="180">
        <f>IF(J48="-",0,I48*J48)</f>
        <v>17477.2</v>
      </c>
      <c r="L48" s="181">
        <f>IF(H48="-","-",K48*H48)</f>
        <v>4369.3</v>
      </c>
      <c r="M48" s="182">
        <f>IF($H48="-","-",(($K48/(-0.8+1)*((1/(1-$H48))^(-0.8+1)-1))))</f>
        <v>5175.334573891502</v>
      </c>
      <c r="N48" s="182">
        <f>IF($H48="-","-",(($K48/(-1.2+1)*((1/(1-$H48))^(-1.2+1)-1))))</f>
        <v>4885.968737983697</v>
      </c>
      <c r="O48" s="57"/>
    </row>
    <row r="49" spans="1:15" ht="16.5">
      <c r="A49" s="85" t="s">
        <v>213</v>
      </c>
      <c r="B49" s="85" t="s">
        <v>214</v>
      </c>
      <c r="C49" s="86" t="s">
        <v>215</v>
      </c>
      <c r="D49" s="87" t="s">
        <v>48</v>
      </c>
      <c r="E49" s="88" t="s">
        <v>68</v>
      </c>
      <c r="F49" s="89">
        <v>0</v>
      </c>
      <c r="G49" s="89">
        <v>0</v>
      </c>
      <c r="H49" s="89">
        <v>0</v>
      </c>
      <c r="I49" s="90">
        <v>508.7</v>
      </c>
      <c r="J49" s="91">
        <v>3138</v>
      </c>
      <c r="K49" s="92">
        <f>IF(J49="-",0,I49*J49)</f>
        <v>1596300.5999999999</v>
      </c>
      <c r="L49" s="93">
        <f>IF(H49="-","-",K49*H49)</f>
        <v>0</v>
      </c>
      <c r="M49" s="94">
        <f>IF($H49="-","-",(($K49/(-0.8+1)*((1/(1-$H49))^(-0.8+1)-1))))</f>
        <v>0</v>
      </c>
      <c r="N49" s="94">
        <f>IF($H49="-","-",(($K49/(-1.2+1)*((1/(1-$H49))^(-1.2+1)-1))))</f>
        <v>0</v>
      </c>
      <c r="O49" s="57"/>
    </row>
    <row r="50" spans="1:15" ht="16.5">
      <c r="A50" s="64" t="s">
        <v>216</v>
      </c>
      <c r="B50" s="64" t="s">
        <v>217</v>
      </c>
      <c r="C50" s="65" t="s">
        <v>218</v>
      </c>
      <c r="D50" s="66" t="s">
        <v>40</v>
      </c>
      <c r="E50" s="67" t="s">
        <v>79</v>
      </c>
      <c r="F50" s="68">
        <f>IF(E50="No aumenta",0,IF(E50="Pequeña",0,IF(E50="Moderada",0.1,IF(E50="Grande",0.4,IF(E50="Esencial",0.9,"-")))))</f>
        <v>0.1</v>
      </c>
      <c r="G50" s="68">
        <f>IF(E50="No aumenta",0,IF(E50="Pequeña",0.1,IF(E50="Moderada",0.4,IF(E50="Grande",0.9,IF(E50="Esencial",1,"-")))))</f>
        <v>0.4</v>
      </c>
      <c r="H50" s="68">
        <f>IF(F50="-","-",AVERAGE(F50:G50))</f>
        <v>0.25</v>
      </c>
      <c r="I50" s="69">
        <v>1310.8</v>
      </c>
      <c r="J50" s="70">
        <v>432</v>
      </c>
      <c r="K50" s="71">
        <f>IF(J50="-",0,I50*J50)</f>
        <v>566265.6</v>
      </c>
      <c r="L50" s="72">
        <f>IF(H50="-","-",K50*H50)</f>
        <v>141566.4</v>
      </c>
      <c r="M50" s="73">
        <f>IF($H50="-","-",(($K50/(-0.8+1)*((1/(1-$H50))^(-0.8+1)-1))))</f>
        <v>167682.1194290513</v>
      </c>
      <c r="N50" s="73">
        <f>IF($H50="-","-",(($K50/(-1.2+1)*((1/(1-$H50))^(-1.2+1)-1))))</f>
        <v>158306.5948204278</v>
      </c>
      <c r="O50" s="57"/>
    </row>
    <row r="51" spans="1:15" ht="29.25">
      <c r="A51" s="174" t="s">
        <v>222</v>
      </c>
      <c r="B51" s="174" t="s">
        <v>223</v>
      </c>
      <c r="C51" s="175" t="s">
        <v>224</v>
      </c>
      <c r="D51" s="79" t="s">
        <v>44</v>
      </c>
      <c r="E51" s="176" t="s">
        <v>79</v>
      </c>
      <c r="F51" s="177">
        <v>0.1</v>
      </c>
      <c r="G51" s="177">
        <v>0.4</v>
      </c>
      <c r="H51" s="177">
        <v>0.25</v>
      </c>
      <c r="I51" s="178">
        <v>380.1</v>
      </c>
      <c r="J51" s="179">
        <v>11884</v>
      </c>
      <c r="K51" s="180">
        <f>IF(J51="-",0,I51*J51)</f>
        <v>4517108.4</v>
      </c>
      <c r="L51" s="181">
        <f>IF(H51="-","-",K51*H51)</f>
        <v>1129277.1</v>
      </c>
      <c r="M51" s="182">
        <f>IF($H51="-","-",(($K51/(-0.8+1)*((1/(1-$H51))^(-0.8+1)-1))))</f>
        <v>1337602.549409272</v>
      </c>
      <c r="N51" s="182">
        <f>IF($H51="-","-",(($K51/(-1.2+1)*((1/(1-$H51))^(-1.2+1)-1))))</f>
        <v>1262813.8619735173</v>
      </c>
      <c r="O51" s="57"/>
    </row>
    <row r="52" spans="1:15" ht="16.5">
      <c r="A52" s="85" t="s">
        <v>231</v>
      </c>
      <c r="B52" s="85" t="s">
        <v>232</v>
      </c>
      <c r="C52" s="86" t="s">
        <v>233</v>
      </c>
      <c r="D52" s="87" t="s">
        <v>48</v>
      </c>
      <c r="E52" s="88" t="s">
        <v>72</v>
      </c>
      <c r="F52" s="89">
        <v>0</v>
      </c>
      <c r="G52" s="89">
        <v>0.1</v>
      </c>
      <c r="H52" s="89">
        <v>0.05</v>
      </c>
      <c r="I52" s="90">
        <v>440.6</v>
      </c>
      <c r="J52" s="91">
        <v>49602</v>
      </c>
      <c r="K52" s="92">
        <f>IF(J52="-",0,I52*J52)</f>
        <v>21854641.200000003</v>
      </c>
      <c r="L52" s="93">
        <f>IF(H52="-","-",K52*H52)</f>
        <v>1092732.0600000003</v>
      </c>
      <c r="M52" s="94">
        <f>IF($H52="-","-",(($K52/(-0.8+1)*((1/(1-$H52))^(-0.8+1)-1))))</f>
        <v>1126766.2182094501</v>
      </c>
      <c r="N52" s="94">
        <f>IF($H52="-","-",(($K52/(-1.2+1)*((1/(1-$H52))^(-1.2+1)-1))))</f>
        <v>1115266.196198678</v>
      </c>
      <c r="O52" s="57"/>
    </row>
    <row r="53" spans="1:15" ht="29.25">
      <c r="A53" s="47" t="s">
        <v>234</v>
      </c>
      <c r="B53" s="47" t="s">
        <v>235</v>
      </c>
      <c r="C53" s="48" t="s">
        <v>236</v>
      </c>
      <c r="D53" s="49" t="s">
        <v>34</v>
      </c>
      <c r="E53" s="50" t="s">
        <v>68</v>
      </c>
      <c r="F53" s="51" t="s">
        <v>63</v>
      </c>
      <c r="G53" s="51" t="s">
        <v>63</v>
      </c>
      <c r="H53" s="51" t="s">
        <v>63</v>
      </c>
      <c r="I53" s="157">
        <v>2087.7</v>
      </c>
      <c r="J53" s="158">
        <v>665</v>
      </c>
      <c r="K53" s="54">
        <f>IF(J53="-",0,I53*J53)</f>
        <v>1388320.4999999998</v>
      </c>
      <c r="L53" s="55" t="str">
        <f>IF(H53="-","-",K53*H53)</f>
        <v>-</v>
      </c>
      <c r="M53" s="56" t="str">
        <f>IF($H53="-","-",(($K53/(-0.8+1)*((1/(1-$H53))^(-0.8+1)-1))))</f>
        <v>-</v>
      </c>
      <c r="N53" s="56" t="str">
        <f>IF($H53="-","-",(($K53/(-1.2+1)*((1/(1-$H53))^(-1.2+1)-1))))</f>
        <v>-</v>
      </c>
      <c r="O53" s="57"/>
    </row>
    <row r="54" spans="1:15" ht="16.5">
      <c r="A54" s="85" t="s">
        <v>237</v>
      </c>
      <c r="B54" s="85" t="s">
        <v>238</v>
      </c>
      <c r="C54" s="86" t="s">
        <v>239</v>
      </c>
      <c r="D54" s="87" t="s">
        <v>48</v>
      </c>
      <c r="E54" s="88" t="s">
        <v>130</v>
      </c>
      <c r="F54" s="89">
        <v>0.9</v>
      </c>
      <c r="G54" s="89">
        <v>1</v>
      </c>
      <c r="H54" s="89">
        <v>0.95</v>
      </c>
      <c r="I54" s="90">
        <v>243.3</v>
      </c>
      <c r="J54" s="91">
        <v>4635</v>
      </c>
      <c r="K54" s="92">
        <f>IF(J54="-",0,I54*J54)</f>
        <v>1127695.5</v>
      </c>
      <c r="L54" s="93">
        <f>IF(H54="-","-",K54*H54)</f>
        <v>1071310.7249999999</v>
      </c>
      <c r="M54" s="94">
        <f>IF($H54="-","-",(($K54/(-0.8+1)*((1/(1-$H54))^(-0.8+1)-1))))</f>
        <v>4626732.796067984</v>
      </c>
      <c r="N54" s="94">
        <f>IF($H54="-","-",(($K54/(-1.2+1)*((1/(1-$H54))^(-1.2+1)-1))))</f>
        <v>2541373.047090339</v>
      </c>
      <c r="O54" s="57"/>
    </row>
    <row r="55" spans="1:15" ht="29.25">
      <c r="A55" s="119" t="s">
        <v>240</v>
      </c>
      <c r="B55" s="119" t="s">
        <v>241</v>
      </c>
      <c r="C55" s="120" t="s">
        <v>242</v>
      </c>
      <c r="D55" s="121" t="s">
        <v>36</v>
      </c>
      <c r="E55" s="122" t="s">
        <v>68</v>
      </c>
      <c r="F55" s="123">
        <v>0</v>
      </c>
      <c r="G55" s="123">
        <v>0</v>
      </c>
      <c r="H55" s="123">
        <v>0</v>
      </c>
      <c r="I55" s="124">
        <v>230.1</v>
      </c>
      <c r="J55" s="125">
        <v>694051</v>
      </c>
      <c r="K55" s="126">
        <f>IF(J55="-",0,I55*J55)</f>
        <v>159701135.1</v>
      </c>
      <c r="L55" s="127">
        <f>IF(H55="-","-",K55*H55)</f>
        <v>0</v>
      </c>
      <c r="M55" s="128">
        <f>IF($H55="-","-",(($K55/(-0.8+1)*((1/(1-$H55))^(-0.8+1)-1))))</f>
        <v>0</v>
      </c>
      <c r="N55" s="128">
        <f>IF($H55="-","-",(($K55/(-1.2+1)*((1/(1-$H55))^(-1.2+1)-1))))</f>
        <v>0</v>
      </c>
      <c r="O55" s="57"/>
    </row>
    <row r="56" spans="1:14" ht="16.5">
      <c r="A56" s="2"/>
      <c r="I56" s="205"/>
      <c r="J56" s="206"/>
      <c r="K56" s="207"/>
      <c r="L56" s="208"/>
      <c r="M56" s="209"/>
      <c r="N56" s="209"/>
    </row>
    <row r="57" spans="1:14" ht="30" customHeight="1">
      <c r="A57" s="210" t="s">
        <v>243</v>
      </c>
      <c r="B57" s="210" t="s">
        <v>248</v>
      </c>
      <c r="C57" s="210"/>
      <c r="D57" s="210"/>
      <c r="E57" s="210"/>
      <c r="F57" s="211">
        <f>AVERAGE(F9:F55)</f>
        <v>0.18421052631578946</v>
      </c>
      <c r="G57" s="211">
        <f>AVERAGE(G9:G55)</f>
        <v>0.3789473684210527</v>
      </c>
      <c r="H57" s="211">
        <f>AVERAGE(H9:H55)</f>
        <v>0.2815789473684211</v>
      </c>
      <c r="I57" s="212">
        <f>AVERAGE(I9:I55)</f>
        <v>644.191489361702</v>
      </c>
      <c r="J57" s="213">
        <f>AVERAGE(J9:J55)</f>
        <v>81038.36170212766</v>
      </c>
      <c r="K57" s="214">
        <f>SUM(K9:K55)</f>
        <v>1120269245.2</v>
      </c>
      <c r="L57" s="215">
        <f>SUM(L9:L55)</f>
        <v>193636039.13000003</v>
      </c>
      <c r="M57" s="216">
        <f>SUM(M9:M55)</f>
        <v>349007995.1939666</v>
      </c>
      <c r="N57" s="216">
        <f>SUM(N9:N55)</f>
        <v>282080486.61384684</v>
      </c>
    </row>
  </sheetData>
  <sheetProtection selectLockedCells="1" selectUnlockedCells="1"/>
  <mergeCells count="10">
    <mergeCell ref="A2:N2"/>
    <mergeCell ref="A3:N3"/>
    <mergeCell ref="P3:V3"/>
    <mergeCell ref="F4:H4"/>
    <mergeCell ref="I4:N4"/>
    <mergeCell ref="M5:N5"/>
    <mergeCell ref="U5:V5"/>
    <mergeCell ref="B6:D6"/>
    <mergeCell ref="E6:H6"/>
    <mergeCell ref="A57:E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67"/>
  <sheetViews>
    <sheetView zoomScale="90" zoomScaleNormal="90" workbookViewId="0" topLeftCell="A19">
      <selection activeCell="A9" sqref="A9:A63"/>
    </sheetView>
  </sheetViews>
  <sheetFormatPr defaultColWidth="11.00390625" defaultRowHeight="12.75"/>
  <cols>
    <col min="1" max="1" width="10.75390625" style="1" customWidth="1"/>
    <col min="2" max="2" width="14.00390625" style="2" customWidth="1"/>
    <col min="3" max="3" width="40.75390625" style="3" customWidth="1"/>
    <col min="4" max="4" width="12.75390625" style="1" customWidth="1"/>
    <col min="5" max="5" width="11.75390625" style="4" customWidth="1"/>
    <col min="6" max="8" width="10.75390625" style="4" customWidth="1"/>
    <col min="9" max="9" width="14.625" style="1" customWidth="1"/>
    <col min="10" max="10" width="14.00390625" style="1" customWidth="1"/>
    <col min="11" max="11" width="16.875" style="5" customWidth="1"/>
    <col min="12" max="12" width="15.75390625" style="6" customWidth="1"/>
    <col min="13" max="14" width="15.75390625" style="7" customWidth="1"/>
    <col min="15" max="15" width="10.75390625" style="1" customWidth="1"/>
    <col min="16" max="16" width="12.375" style="1" customWidth="1"/>
    <col min="17" max="17" width="14.125" style="1" customWidth="1"/>
    <col min="18" max="18" width="24.75390625" style="1" customWidth="1"/>
    <col min="19" max="19" width="21.25390625" style="1" customWidth="1"/>
    <col min="20" max="20" width="14.125" style="1" customWidth="1"/>
    <col min="21" max="22" width="18.75390625" style="1" customWidth="1"/>
    <col min="23" max="245" width="10.75390625" style="1" customWidth="1"/>
    <col min="246" max="16384" width="10.75390625" style="0" customWidth="1"/>
  </cols>
  <sheetData>
    <row r="1" spans="2:14" s="8" customFormat="1" ht="12.75" customHeight="1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36.75" customHeight="1">
      <c r="A2" s="9" t="s">
        <v>273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2" s="11" customFormat="1" ht="60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12" t="s">
        <v>2</v>
      </c>
      <c r="Q3" s="12"/>
      <c r="R3" s="12"/>
      <c r="S3" s="12"/>
      <c r="T3" s="12"/>
      <c r="U3" s="12"/>
      <c r="V3" s="12"/>
    </row>
    <row r="4" spans="6:246" ht="61.5" customHeight="1">
      <c r="F4" s="13" t="s">
        <v>3</v>
      </c>
      <c r="G4" s="13"/>
      <c r="H4" s="13"/>
      <c r="I4" s="14" t="s">
        <v>4</v>
      </c>
      <c r="J4" s="14"/>
      <c r="K4" s="14"/>
      <c r="L4" s="14"/>
      <c r="M4" s="14"/>
      <c r="N4" s="14"/>
      <c r="IL4" s="1"/>
    </row>
    <row r="5" spans="1:246" ht="78.75" customHeight="1">
      <c r="A5" s="15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8" t="s">
        <v>11</v>
      </c>
      <c r="H5" s="17" t="s">
        <v>12</v>
      </c>
      <c r="I5" s="19" t="s">
        <v>13</v>
      </c>
      <c r="J5" s="19" t="s">
        <v>14</v>
      </c>
      <c r="K5" s="20" t="s">
        <v>15</v>
      </c>
      <c r="L5" s="21" t="s">
        <v>16</v>
      </c>
      <c r="M5" s="22" t="s">
        <v>17</v>
      </c>
      <c r="N5" s="22"/>
      <c r="P5" s="16" t="s">
        <v>8</v>
      </c>
      <c r="Q5" s="23" t="s">
        <v>18</v>
      </c>
      <c r="R5" s="20" t="s">
        <v>15</v>
      </c>
      <c r="S5" s="21" t="s">
        <v>16</v>
      </c>
      <c r="T5" s="24" t="s">
        <v>19</v>
      </c>
      <c r="U5" s="22" t="s">
        <v>17</v>
      </c>
      <c r="V5" s="22"/>
      <c r="IL5" s="1"/>
    </row>
    <row r="6" spans="1:246" ht="47.25" customHeight="1">
      <c r="A6" s="25"/>
      <c r="B6" s="26" t="s">
        <v>20</v>
      </c>
      <c r="C6" s="26"/>
      <c r="D6" s="26"/>
      <c r="E6" s="27" t="s">
        <v>21</v>
      </c>
      <c r="F6" s="27"/>
      <c r="G6" s="27"/>
      <c r="H6" s="27"/>
      <c r="I6" s="28" t="s">
        <v>20</v>
      </c>
      <c r="J6" s="28" t="s">
        <v>22</v>
      </c>
      <c r="K6" s="29" t="s">
        <v>23</v>
      </c>
      <c r="L6" s="30" t="s">
        <v>24</v>
      </c>
      <c r="M6" s="31">
        <v>-0.8</v>
      </c>
      <c r="N6" s="31">
        <v>-1.2</v>
      </c>
      <c r="P6" s="32"/>
      <c r="Q6" s="33" t="s">
        <v>25</v>
      </c>
      <c r="R6" s="29" t="s">
        <v>23</v>
      </c>
      <c r="S6" s="30" t="s">
        <v>26</v>
      </c>
      <c r="T6" s="34" t="s">
        <v>27</v>
      </c>
      <c r="U6" s="31">
        <v>-0.8</v>
      </c>
      <c r="V6" s="31">
        <v>-1.2</v>
      </c>
      <c r="IL6" s="1"/>
    </row>
    <row r="7" spans="2:246" ht="27.75" customHeight="1">
      <c r="B7" s="35"/>
      <c r="C7" s="36"/>
      <c r="D7" s="37"/>
      <c r="E7" s="38"/>
      <c r="F7" s="39"/>
      <c r="G7" s="39"/>
      <c r="H7" s="39"/>
      <c r="I7" s="19" t="s">
        <v>28</v>
      </c>
      <c r="J7" s="19" t="s">
        <v>29</v>
      </c>
      <c r="K7" s="40" t="s">
        <v>30</v>
      </c>
      <c r="L7" s="41" t="s">
        <v>30</v>
      </c>
      <c r="M7" s="42" t="s">
        <v>30</v>
      </c>
      <c r="N7" s="42" t="s">
        <v>30</v>
      </c>
      <c r="P7" s="43"/>
      <c r="Q7" s="19"/>
      <c r="R7" s="40"/>
      <c r="S7" s="41"/>
      <c r="T7" s="44"/>
      <c r="U7" s="42"/>
      <c r="V7" s="42"/>
      <c r="IL7" s="1"/>
    </row>
    <row r="8" spans="2:246" ht="16.5">
      <c r="B8" s="35"/>
      <c r="C8" s="36"/>
      <c r="D8" s="37"/>
      <c r="E8" s="38"/>
      <c r="F8" s="39"/>
      <c r="G8" s="39"/>
      <c r="H8" s="39"/>
      <c r="I8" s="19"/>
      <c r="J8" s="19"/>
      <c r="K8" s="40"/>
      <c r="L8" s="41"/>
      <c r="M8" s="42"/>
      <c r="N8" s="42"/>
      <c r="P8" s="43"/>
      <c r="Q8" s="43"/>
      <c r="R8" s="40"/>
      <c r="S8" s="45"/>
      <c r="T8" s="44"/>
      <c r="U8" s="46"/>
      <c r="V8" s="46"/>
      <c r="IL8" s="1"/>
    </row>
    <row r="9" spans="1:22" ht="29.25">
      <c r="A9" s="47" t="s">
        <v>31</v>
      </c>
      <c r="B9" s="47" t="s">
        <v>32</v>
      </c>
      <c r="C9" s="48" t="s">
        <v>33</v>
      </c>
      <c r="D9" s="49" t="s">
        <v>34</v>
      </c>
      <c r="E9" s="50" t="s">
        <v>35</v>
      </c>
      <c r="F9" s="51">
        <v>0.4</v>
      </c>
      <c r="G9" s="51">
        <v>0.9</v>
      </c>
      <c r="H9" s="51">
        <v>0.65</v>
      </c>
      <c r="I9" s="52">
        <v>687.9</v>
      </c>
      <c r="J9" s="53">
        <v>20344</v>
      </c>
      <c r="K9" s="54">
        <f>IF(J9="-",0,I9*J9)</f>
        <v>13994637.6</v>
      </c>
      <c r="L9" s="55">
        <f>IF(H9="-","-",$K9*H9)</f>
        <v>9096514.44</v>
      </c>
      <c r="M9" s="56">
        <f>IF($H9="-","-",(($K9/(-0.8+1)*((1/(1-$H9))^(-0.8+1)-1))))</f>
        <v>16348127.87673694</v>
      </c>
      <c r="N9" s="56">
        <f>IF($H9="-","-",(($K9/(-1.2+1)*((1/(1-$H9))^(-1.2+1)-1))))</f>
        <v>13252006.341057608</v>
      </c>
      <c r="O9" s="57"/>
      <c r="P9" s="58" t="s">
        <v>36</v>
      </c>
      <c r="Q9" s="59">
        <f>SUMIF($D$9:$D$65,$P9,$K$9:$K$65)/SUMIF($D$9:$D$65,$P9,$J$9:$J$65)</f>
        <v>216.38853211226453</v>
      </c>
      <c r="R9" s="217">
        <f>SUMIF($D$9:$D$65,$P9,$K$9:$K$65)</f>
        <v>319785680.8</v>
      </c>
      <c r="S9" s="218">
        <f>SUMIF($D$9:$D$65,$P9,$L$9:$L$65)</f>
        <v>0</v>
      </c>
      <c r="T9" s="62">
        <f>IF(R9=0,"-",S9/R9)</f>
        <v>0</v>
      </c>
      <c r="U9" s="219">
        <f>SUMIF($D$9:$D$65,$P9,$M$9:$M$65)</f>
        <v>0</v>
      </c>
      <c r="V9" s="219">
        <f>SUMIF($D$9:$D$65,$P9,$N$9:$N$65)</f>
        <v>0</v>
      </c>
    </row>
    <row r="10" spans="1:22" ht="16.5">
      <c r="A10" s="64" t="s">
        <v>37</v>
      </c>
      <c r="B10" s="64" t="s">
        <v>38</v>
      </c>
      <c r="C10" s="65" t="s">
        <v>39</v>
      </c>
      <c r="D10" s="66" t="s">
        <v>40</v>
      </c>
      <c r="E10" s="67" t="s">
        <v>35</v>
      </c>
      <c r="F10" s="68">
        <v>0.4</v>
      </c>
      <c r="G10" s="68">
        <v>0.9</v>
      </c>
      <c r="H10" s="68">
        <v>0.65</v>
      </c>
      <c r="I10" s="69">
        <v>342.2</v>
      </c>
      <c r="J10" s="70">
        <v>329746</v>
      </c>
      <c r="K10" s="71">
        <f>IF(J10="-",0,I10*J10)</f>
        <v>112839081.2</v>
      </c>
      <c r="L10" s="72">
        <f>IF(H10="-","-",K10*H10)</f>
        <v>73345402.78</v>
      </c>
      <c r="M10" s="73">
        <f>IF($H10="-","-",(($K10/(-0.8+1)*((1/(1-$H10))^(-0.8+1)-1))))</f>
        <v>131815326.81854537</v>
      </c>
      <c r="N10" s="73">
        <f>IF($H10="-","-",(($K10/(-1.2+1)*((1/(1-$H10))^(-1.2+1)-1))))</f>
        <v>106851228.47207664</v>
      </c>
      <c r="O10" s="57"/>
      <c r="P10" s="66" t="s">
        <v>40</v>
      </c>
      <c r="Q10" s="74">
        <f>SUMIF($D$9:$D$65,$P10,$K$9:$K$65)/SUMIF($D$9:$D$65,$P10,$J$9:$J$65)</f>
        <v>469.31149407233517</v>
      </c>
      <c r="R10" s="220">
        <f>SUMIF($D$9:$D$65,$P10,$K$9:$K$65)</f>
        <v>773877289.2</v>
      </c>
      <c r="S10" s="221">
        <f>SUMIF($D$9:$D$65,$P10,$L$9:$L$65)</f>
        <v>299177148.11</v>
      </c>
      <c r="T10" s="77">
        <f>IF(R10=0,"-",S10/R10)</f>
        <v>0.38659507429049383</v>
      </c>
      <c r="U10" s="222">
        <f>SUMIF($D$9:$D$65,$P10,$M$9:$M$65)</f>
        <v>535644145.9338254</v>
      </c>
      <c r="V10" s="222">
        <f>SUMIF($D$9:$D$65,$P10,$N$9:$N$65)</f>
        <v>434627873.2152976</v>
      </c>
    </row>
    <row r="11" spans="1:22" ht="29.25">
      <c r="A11" s="64" t="s">
        <v>41</v>
      </c>
      <c r="B11" s="64" t="s">
        <v>42</v>
      </c>
      <c r="C11" s="65" t="s">
        <v>43</v>
      </c>
      <c r="D11" s="66" t="s">
        <v>40</v>
      </c>
      <c r="E11" s="67" t="s">
        <v>35</v>
      </c>
      <c r="F11" s="68">
        <v>0.4</v>
      </c>
      <c r="G11" s="68">
        <v>0.9</v>
      </c>
      <c r="H11" s="68">
        <v>0.65</v>
      </c>
      <c r="I11" s="69">
        <v>745.8</v>
      </c>
      <c r="J11" s="70">
        <v>3866</v>
      </c>
      <c r="K11" s="71">
        <f>IF(J11="-",0,I11*J11)</f>
        <v>2883262.8</v>
      </c>
      <c r="L11" s="72">
        <f>IF(H11="-","-",K11*H11)</f>
        <v>1874120.8199999998</v>
      </c>
      <c r="M11" s="73">
        <f>IF($H11="-","-",(($K11/(-0.8+1)*((1/(1-$H11))^(-0.8+1)-1))))</f>
        <v>3368143.592131218</v>
      </c>
      <c r="N11" s="73">
        <f>IF($H11="-","-",(($K11/(-1.2+1)*((1/(1-$H11))^(-1.2+1)-1))))</f>
        <v>2730261.2615374555</v>
      </c>
      <c r="O11" s="57"/>
      <c r="P11" s="79" t="s">
        <v>44</v>
      </c>
      <c r="Q11" s="80">
        <f>SUMIF($D$9:$D$65,$P11,$K$9:$K$65)/SUMIF($D$9:$D$65,$P11,$J$9:$J$65)</f>
        <v>379.55219312875255</v>
      </c>
      <c r="R11" s="223">
        <f>SUMIF($D$9:$D$65,$P11,$K$9:$K$65)</f>
        <v>50067488.900000006</v>
      </c>
      <c r="S11" s="224">
        <f>SUMIF($D$9:$D$65,$P11,$L$9:$L$65)</f>
        <v>1894635.275</v>
      </c>
      <c r="T11" s="83">
        <f>IF(R11=0,"-",S11/R11)</f>
        <v>0.037841627703441696</v>
      </c>
      <c r="U11" s="225">
        <f>SUMIF($D$9:$D$65,$P11,$M$9:$M$65)</f>
        <v>2244151.5674414514</v>
      </c>
      <c r="V11" s="225">
        <f>SUMIF($D$9:$D$65,$P11,$N$9:$N$65)</f>
        <v>2118675.468274356</v>
      </c>
    </row>
    <row r="12" spans="1:22" ht="42.75">
      <c r="A12" s="85" t="s">
        <v>45</v>
      </c>
      <c r="B12" s="85" t="s">
        <v>46</v>
      </c>
      <c r="C12" s="86" t="s">
        <v>47</v>
      </c>
      <c r="D12" s="87" t="s">
        <v>48</v>
      </c>
      <c r="E12" s="88" t="s">
        <v>49</v>
      </c>
      <c r="F12" s="89" t="str">
        <f>IF(E12="No aumenta",0,IF(E12="Pequeña",0,IF(E12="Moderada",0.1,IF(E12="Grande",0.4,IF(E12="Esencial",0.9,"-")))))</f>
        <v>-</v>
      </c>
      <c r="G12" s="89" t="str">
        <f>IF(E12="No aumenta",0,IF(E12="Pequeña",0.1,IF(E12="Moderada",0.4,IF(E12="Grande",0.9,IF(E12="Esencial",1,"-")))))</f>
        <v>-</v>
      </c>
      <c r="H12" s="89" t="str">
        <f>IF(F12="-","-",AVERAGE(F12:G12))</f>
        <v>-</v>
      </c>
      <c r="I12" s="90">
        <v>661.2</v>
      </c>
      <c r="J12" s="91">
        <v>10468</v>
      </c>
      <c r="K12" s="92">
        <f>IF(J12="-",0,I12*J12)</f>
        <v>6921441.600000001</v>
      </c>
      <c r="L12" s="93" t="str">
        <f>IF(H12="-","-",K12*H12)</f>
        <v>-</v>
      </c>
      <c r="M12" s="94" t="str">
        <f>IF($H12="-","-",(($K12/(-0.8+1)*((1/(1-$H12))^(-0.8+1)-1))))</f>
        <v>-</v>
      </c>
      <c r="N12" s="94" t="str">
        <f>IF($H12="-","-",(($K12/(-1.2+1)*((1/(1-$H12))^(-1.2+1)-1))))</f>
        <v>-</v>
      </c>
      <c r="O12" s="57"/>
      <c r="P12" s="95" t="s">
        <v>50</v>
      </c>
      <c r="Q12" s="96">
        <f>SUMIF($D$9:$D$65,$P12,$K$9:$K$65)/SUMIF($D$9:$D$65,$P12,$J$9:$J$65)</f>
        <v>461.00028395646</v>
      </c>
      <c r="R12" s="226">
        <f>SUMIF($D$9:$D$65,$P12,$K$9:$K$65)</f>
        <v>974093.6</v>
      </c>
      <c r="S12" s="227">
        <f>SUMIF($D$9:$D$65,$P12,$L$9:$L$65)</f>
        <v>42673.435</v>
      </c>
      <c r="T12" s="99">
        <f>IF(R12=0,"-",S12/R12)</f>
        <v>0.043808351682014954</v>
      </c>
      <c r="U12" s="228">
        <f>SUMIF($D$9:$D$65,$P12,$M$9:$M$65)</f>
        <v>46885.66177120461</v>
      </c>
      <c r="V12" s="228">
        <f>SUMIF($D$9:$D$65,$P12,$N$9:$N$65)</f>
        <v>45389.1644337785</v>
      </c>
    </row>
    <row r="13" spans="1:22" ht="42.75">
      <c r="A13" s="85" t="s">
        <v>51</v>
      </c>
      <c r="B13" s="85" t="s">
        <v>52</v>
      </c>
      <c r="C13" s="86" t="s">
        <v>53</v>
      </c>
      <c r="D13" s="87" t="s">
        <v>48</v>
      </c>
      <c r="E13" s="88" t="s">
        <v>49</v>
      </c>
      <c r="F13" s="89" t="str">
        <f>IF(E13="No aumenta",0,IF(E13="Pequeña",0,IF(E13="Moderada",0.1,IF(E13="Grande",0.4,IF(E13="Esencial",0.9,"-")))))</f>
        <v>-</v>
      </c>
      <c r="G13" s="89" t="str">
        <f>IF(E13="No aumenta",0,IF(E13="Pequeña",0.1,IF(E13="Moderada",0.4,IF(E13="Grande",0.9,IF(E13="Esencial",1,"-")))))</f>
        <v>-</v>
      </c>
      <c r="H13" s="89" t="str">
        <f>IF(F13="-","-",AVERAGE(F13:G13))</f>
        <v>-</v>
      </c>
      <c r="I13" s="90">
        <v>1257.3</v>
      </c>
      <c r="J13" s="91">
        <v>30</v>
      </c>
      <c r="K13" s="92">
        <f>IF(J13="-",0,I13*J13)</f>
        <v>37719</v>
      </c>
      <c r="L13" s="93" t="str">
        <f>IF(H13="-","-",K13*H13)</f>
        <v>-</v>
      </c>
      <c r="M13" s="94" t="str">
        <f>IF($H13="-","-",(($K13/(-0.8+1)*((1/(1-$H13))^(-0.8+1)-1))))</f>
        <v>-</v>
      </c>
      <c r="N13" s="94" t="str">
        <f>IF($H13="-","-",(($K13/(-1.2+1)*((1/(1-$H13))^(-1.2+1)-1))))</f>
        <v>-</v>
      </c>
      <c r="O13" s="57"/>
      <c r="P13" s="101" t="s">
        <v>54</v>
      </c>
      <c r="Q13" s="102">
        <f>SUMIF($D$9:$D$65,$P13,$K$9:$K$65)/SUMIF($D$9:$D$65,$P13,$J$9:$J$65)</f>
        <v>212.7881515688259</v>
      </c>
      <c r="R13" s="229">
        <f>SUMIF($D$9:$D$65,$P13,$K$9:$K$65)</f>
        <v>6727510.199999999</v>
      </c>
      <c r="S13" s="230">
        <f>SUMIF($D$9:$D$65,$P13,$L$9:$L$65)</f>
        <v>0</v>
      </c>
      <c r="T13" s="105">
        <f>IF(R13=0,"-",S13/R13)</f>
        <v>0</v>
      </c>
      <c r="U13" s="231">
        <f>SUMIF($D$9:$D$65,$P13,$M$9:$M$65)</f>
        <v>0</v>
      </c>
      <c r="V13" s="231">
        <f>SUMIF($D$9:$D$65,$P13,$N$9:$N$65)</f>
        <v>0</v>
      </c>
    </row>
    <row r="14" spans="1:22" ht="16.5">
      <c r="A14" s="119" t="s">
        <v>65</v>
      </c>
      <c r="B14" s="119" t="s">
        <v>66</v>
      </c>
      <c r="C14" s="120" t="s">
        <v>67</v>
      </c>
      <c r="D14" s="121" t="s">
        <v>36</v>
      </c>
      <c r="E14" s="122" t="s">
        <v>68</v>
      </c>
      <c r="F14" s="123">
        <v>0</v>
      </c>
      <c r="G14" s="123">
        <v>0</v>
      </c>
      <c r="H14" s="123">
        <v>0</v>
      </c>
      <c r="I14" s="124">
        <v>194.8</v>
      </c>
      <c r="J14" s="125">
        <v>525216</v>
      </c>
      <c r="K14" s="126">
        <f>IF(J14="-",0,I14*J14)</f>
        <v>102312076.80000001</v>
      </c>
      <c r="L14" s="127">
        <f>IF(H14="-","-",K14*H14)</f>
        <v>0</v>
      </c>
      <c r="M14" s="128">
        <f>IF($H14="-","-",(($K14/(-0.8+1)*((1/(1-$H14))^(-0.8+1)-1))))</f>
        <v>0</v>
      </c>
      <c r="N14" s="128">
        <f>IF($H14="-","-",(($K14/(-1.2+1)*((1/(1-$H14))^(-1.2+1)-1))))</f>
        <v>0</v>
      </c>
      <c r="O14" s="57"/>
      <c r="P14" s="49" t="s">
        <v>34</v>
      </c>
      <c r="Q14" s="129">
        <f>SUMIF($D$9:$D$65,$P14,$K$9:$K$65)/SUMIF($D$9:$D$65,$P14,$J$9:$J$65)</f>
        <v>1183.581254770264</v>
      </c>
      <c r="R14" s="232">
        <f>SUMIF($D$9:$D$65,$P14,$K$9:$K$65)</f>
        <v>46521844.8</v>
      </c>
      <c r="S14" s="233">
        <f>SUMIF($D$9:$D$65,$P14,$L$9:$L$65)</f>
        <v>9096514.44</v>
      </c>
      <c r="T14" s="132">
        <f>IF(R14=0,"-",S14/R14)</f>
        <v>0.19553210925117914</v>
      </c>
      <c r="U14" s="234">
        <f>SUMIF($D$9:$D$65,$P14,$M$9:$M$65)</f>
        <v>16348127.87673694</v>
      </c>
      <c r="V14" s="234">
        <f>SUMIF($D$9:$D$65,$P14,$N$9:$N$65)</f>
        <v>13252006.341057608</v>
      </c>
    </row>
    <row r="15" spans="1:22" ht="42.75">
      <c r="A15" s="134" t="s">
        <v>69</v>
      </c>
      <c r="B15" s="134" t="s">
        <v>70</v>
      </c>
      <c r="C15" s="135" t="s">
        <v>71</v>
      </c>
      <c r="D15" s="95" t="s">
        <v>50</v>
      </c>
      <c r="E15" s="136" t="s">
        <v>72</v>
      </c>
      <c r="F15" s="137">
        <v>0</v>
      </c>
      <c r="G15" s="137">
        <v>0.1</v>
      </c>
      <c r="H15" s="137">
        <v>0.05</v>
      </c>
      <c r="I15" s="138">
        <v>1857.6</v>
      </c>
      <c r="J15" s="139">
        <v>257</v>
      </c>
      <c r="K15" s="140">
        <f>IF(J15="-",0,I15*J15)</f>
        <v>477403.19999999995</v>
      </c>
      <c r="L15" s="141">
        <f>IF(H15="-","-",K15*H15)</f>
        <v>23870.16</v>
      </c>
      <c r="M15" s="142">
        <f>IF($H15="-","-",(($K15/(-0.8+1)*((1/(1-$H15))^(-0.8+1)-1))))</f>
        <v>24613.618375262537</v>
      </c>
      <c r="N15" s="142">
        <f>IF($H15="-","-",(($K15/(-1.2+1)*((1/(1-$H15))^(-1.2+1)-1))))</f>
        <v>24362.40641265145</v>
      </c>
      <c r="O15" s="57"/>
      <c r="P15" s="87" t="s">
        <v>48</v>
      </c>
      <c r="Q15" s="143">
        <f>SUMIF($D$9:$D$65,$P15,$K$9:$K$65)/SUMIF($D$9:$D$65,$P15,$J$9:$J$65)</f>
        <v>442.61700252912794</v>
      </c>
      <c r="R15" s="235">
        <f>SUMIF($D$9:$D$65,$P15,$K$9:$K$65)</f>
        <v>92579100.1</v>
      </c>
      <c r="S15" s="236">
        <f>SUMIF($D$9:$D$65,$P15,$L$9:$L$65)</f>
        <v>11177527.21</v>
      </c>
      <c r="T15" s="146">
        <f>IF(R15=0,"-",S15/R15)</f>
        <v>0.12073488722537282</v>
      </c>
      <c r="U15" s="237">
        <f>SUMIF($D$9:$D$65,$P15,$M$9:$M$65)</f>
        <v>34011627.11191067</v>
      </c>
      <c r="V15" s="237">
        <f>SUMIF($D$9:$D$65,$P15,$N$9:$N$65)</f>
        <v>20851821.60332438</v>
      </c>
    </row>
    <row r="16" spans="1:22" ht="29.25">
      <c r="A16" s="85" t="s">
        <v>73</v>
      </c>
      <c r="B16" s="85" t="s">
        <v>74</v>
      </c>
      <c r="C16" s="86" t="s">
        <v>75</v>
      </c>
      <c r="D16" s="87" t="s">
        <v>48</v>
      </c>
      <c r="E16" s="88" t="s">
        <v>72</v>
      </c>
      <c r="F16" s="89">
        <v>0</v>
      </c>
      <c r="G16" s="89">
        <v>0.1</v>
      </c>
      <c r="H16" s="89">
        <v>0.05</v>
      </c>
      <c r="I16" s="90">
        <v>1536</v>
      </c>
      <c r="J16" s="91">
        <v>9190</v>
      </c>
      <c r="K16" s="92">
        <f>IF(J16="-",0,I16*J16)</f>
        <v>14115840</v>
      </c>
      <c r="L16" s="93">
        <f>IF(H16="-","-",K16*H16)</f>
        <v>705792</v>
      </c>
      <c r="M16" s="94">
        <f>IF($H16="-","-",(($K16/(-0.8+1)*((1/(1-$H16))^(-0.8+1)-1))))</f>
        <v>727774.549492475</v>
      </c>
      <c r="N16" s="94">
        <f>IF($H16="-","-",(($K16/(-1.2+1)*((1/(1-$H16))^(-1.2+1)-1))))</f>
        <v>720346.723557701</v>
      </c>
      <c r="O16" s="57"/>
      <c r="P16" s="57"/>
      <c r="Q16" s="57"/>
      <c r="R16" s="238"/>
      <c r="S16" s="239"/>
      <c r="T16" s="150"/>
      <c r="U16" s="240"/>
      <c r="V16" s="240"/>
    </row>
    <row r="17" spans="1:22" ht="42.75">
      <c r="A17" s="134" t="s">
        <v>254</v>
      </c>
      <c r="B17" s="134" t="s">
        <v>77</v>
      </c>
      <c r="C17" s="135" t="s">
        <v>78</v>
      </c>
      <c r="D17" s="95" t="s">
        <v>50</v>
      </c>
      <c r="E17" s="136" t="s">
        <v>79</v>
      </c>
      <c r="F17" s="137">
        <v>0.1</v>
      </c>
      <c r="G17" s="137">
        <v>0.4</v>
      </c>
      <c r="H17" s="137">
        <v>0.25</v>
      </c>
      <c r="I17" s="138">
        <v>256.7</v>
      </c>
      <c r="J17" s="139">
        <v>293</v>
      </c>
      <c r="K17" s="140">
        <f>IF(J17="-",0,I17*J17)</f>
        <v>75213.09999999999</v>
      </c>
      <c r="L17" s="141">
        <f>IF(H17="-","-",K17*H17)</f>
        <v>18803.274999999998</v>
      </c>
      <c r="M17" s="142">
        <f>IF($H17="-","-",(($K17/(-0.8+1)*((1/(1-$H17))^(-0.8+1)-1))))</f>
        <v>22272.043395942077</v>
      </c>
      <c r="N17" s="142">
        <f>IF($H17="-","-",(($K17/(-1.2+1)*((1/(1-$H17))^(-1.2+1)-1))))</f>
        <v>21026.758021127043</v>
      </c>
      <c r="O17" s="57"/>
      <c r="P17" s="152" t="s">
        <v>80</v>
      </c>
      <c r="Q17" s="152"/>
      <c r="R17" s="241">
        <f>SUM(R9:R15)</f>
        <v>1290533007.6000001</v>
      </c>
      <c r="S17" s="242">
        <f>SUM(S9:S15)</f>
        <v>321388498.47</v>
      </c>
      <c r="T17" s="155">
        <f>IF(R17=0,"-",S17/R17)</f>
        <v>0.24903547338760837</v>
      </c>
      <c r="U17" s="243">
        <f>SUM(U9:U15)</f>
        <v>588294938.1516856</v>
      </c>
      <c r="V17" s="243">
        <f>SUM(V9:V15)</f>
        <v>470895765.7923877</v>
      </c>
    </row>
    <row r="18" spans="1:19" ht="42.75">
      <c r="A18" s="85" t="s">
        <v>81</v>
      </c>
      <c r="B18" s="85" t="s">
        <v>82</v>
      </c>
      <c r="C18" s="86" t="s">
        <v>83</v>
      </c>
      <c r="D18" s="87" t="s">
        <v>48</v>
      </c>
      <c r="E18" s="88" t="s">
        <v>49</v>
      </c>
      <c r="F18" s="89" t="str">
        <f>IF(E18="No aumenta",0,IF(E18="Pequeña",0,IF(E18="Moderada",0.1,IF(E18="Grande",0.4,IF(E18="Esencial",0.9,"-")))))</f>
        <v>-</v>
      </c>
      <c r="G18" s="89" t="str">
        <f>IF(E18="No aumenta",0,IF(E18="Pequeña",0.1,IF(E18="Moderada",0.4,IF(E18="Grande",0.9,IF(E18="Esencial",1,"-")))))</f>
        <v>-</v>
      </c>
      <c r="H18" s="89" t="str">
        <f>IF(F18="-","-",AVERAGE(F18:G18))</f>
        <v>-</v>
      </c>
      <c r="I18" s="90">
        <v>247</v>
      </c>
      <c r="J18" s="91">
        <v>9455</v>
      </c>
      <c r="K18" s="92">
        <f>IF(J18="-",0,I18*J18)</f>
        <v>2335385</v>
      </c>
      <c r="L18" s="93" t="str">
        <f>IF(H18="-","-",K18*H18)</f>
        <v>-</v>
      </c>
      <c r="M18" s="94" t="str">
        <f>IF($H18="-","-",(($K18/(-0.8+1)*((1/(1-$H18))^(-0.8+1)-1))))</f>
        <v>-</v>
      </c>
      <c r="N18" s="94" t="str">
        <f>IF($H18="-","-",(($K18/(-1.2+1)*((1/(1-$H18))^(-1.2+1)-1))))</f>
        <v>-</v>
      </c>
      <c r="O18" s="57"/>
      <c r="R18"/>
      <c r="S18"/>
    </row>
    <row r="19" spans="1:15" ht="42.75">
      <c r="A19" s="85" t="s">
        <v>84</v>
      </c>
      <c r="B19" s="85" t="s">
        <v>85</v>
      </c>
      <c r="C19" s="86" t="s">
        <v>86</v>
      </c>
      <c r="D19" s="87" t="s">
        <v>48</v>
      </c>
      <c r="E19" s="88" t="s">
        <v>49</v>
      </c>
      <c r="F19" s="89" t="str">
        <f>IF(E19="No aumenta",0,IF(E19="Pequeña",0,IF(E19="Moderada",0.1,IF(E19="Grande",0.4,IF(E19="Esencial",0.9,"-")))))</f>
        <v>-</v>
      </c>
      <c r="G19" s="89" t="str">
        <f>IF(E19="No aumenta",0,IF(E19="Pequeña",0.1,IF(E19="Moderada",0.4,IF(E19="Grande",0.9,IF(E19="Esencial",1,"-")))))</f>
        <v>-</v>
      </c>
      <c r="H19" s="89" t="str">
        <f>IF(F19="-","-",AVERAGE(F19:G19))</f>
        <v>-</v>
      </c>
      <c r="I19" s="90">
        <v>283.4</v>
      </c>
      <c r="J19" s="91">
        <v>2108</v>
      </c>
      <c r="K19" s="92">
        <f>IF(J19="-",0,I19*J19)</f>
        <v>597407.2</v>
      </c>
      <c r="L19" s="93" t="str">
        <f>IF(H19="-","-",K19*H19)</f>
        <v>-</v>
      </c>
      <c r="M19" s="94" t="str">
        <f>IF($H19="-","-",(($K19/(-0.8+1)*((1/(1-$H19))^(-0.8+1)-1))))</f>
        <v>-</v>
      </c>
      <c r="N19" s="94" t="str">
        <f>IF($H19="-","-",(($K19/(-1.2+1)*((1/(1-$H19))^(-1.2+1)-1))))</f>
        <v>-</v>
      </c>
      <c r="O19" s="57"/>
    </row>
    <row r="20" spans="1:15" ht="42.75">
      <c r="A20" s="85" t="s">
        <v>250</v>
      </c>
      <c r="B20" s="85" t="s">
        <v>88</v>
      </c>
      <c r="C20" s="86" t="s">
        <v>83</v>
      </c>
      <c r="D20" s="87" t="s">
        <v>48</v>
      </c>
      <c r="E20" s="88" t="s">
        <v>49</v>
      </c>
      <c r="F20" s="89" t="str">
        <f>IF(E20="No aumenta",0,IF(E20="Pequeña",0,IF(E20="Moderada",0.1,IF(E20="Grande",0.4,IF(E20="Esencial",0.9,"-")))))</f>
        <v>-</v>
      </c>
      <c r="G20" s="89" t="str">
        <f>IF(E20="No aumenta",0,IF(E20="Pequeña",0.1,IF(E20="Moderada",0.4,IF(E20="Grande",0.9,IF(E20="Esencial",1,"-")))))</f>
        <v>-</v>
      </c>
      <c r="H20" s="89" t="str">
        <f>IF(F20="-","-",AVERAGE(F20:G20))</f>
        <v>-</v>
      </c>
      <c r="I20" s="90">
        <v>325.3</v>
      </c>
      <c r="J20" s="91">
        <f>12005+1686</f>
        <v>13691</v>
      </c>
      <c r="K20" s="92">
        <f>IF(J20="-",0,I20*J20)</f>
        <v>4453682.3</v>
      </c>
      <c r="L20" s="93" t="str">
        <f>IF(H20="-","-",K20*H20)</f>
        <v>-</v>
      </c>
      <c r="M20" s="94" t="str">
        <f>IF($H20="-","-",(($K20/(-0.8+1)*((1/(1-$H20))^(-0.8+1)-1))))</f>
        <v>-</v>
      </c>
      <c r="N20" s="94" t="str">
        <f>IF($H20="-","-",(($K20/(-1.2+1)*((1/(1-$H20))^(-1.2+1)-1))))</f>
        <v>-</v>
      </c>
      <c r="O20" s="57"/>
    </row>
    <row r="21" spans="1:15" ht="29.25">
      <c r="A21" s="64" t="s">
        <v>246</v>
      </c>
      <c r="B21" s="64" t="s">
        <v>90</v>
      </c>
      <c r="C21" s="65" t="s">
        <v>91</v>
      </c>
      <c r="D21" s="66" t="s">
        <v>40</v>
      </c>
      <c r="E21" s="67" t="s">
        <v>35</v>
      </c>
      <c r="F21" s="68">
        <f>IF(E21="No aumenta",0,IF(E21="Pequeña",0,IF(E21="Moderada",0.1,IF(E21="Grande",0.4,IF(E21="Esencial",0.9,"-")))))</f>
        <v>0.4</v>
      </c>
      <c r="G21" s="68">
        <f>IF(E21="No aumenta",0,IF(E21="Pequeña",0.1,IF(E21="Moderada",0.4,IF(E21="Grande",0.9,IF(E21="Esencial",1,"-")))))</f>
        <v>0.9</v>
      </c>
      <c r="H21" s="68">
        <f>IF(F21="-","-",AVERAGE(F21:G21))</f>
        <v>0.65</v>
      </c>
      <c r="I21" s="69">
        <v>1344.2</v>
      </c>
      <c r="J21" s="70">
        <v>9236</v>
      </c>
      <c r="K21" s="71">
        <f>IF(J21="-",0,I21*J21)</f>
        <v>12415031.200000001</v>
      </c>
      <c r="L21" s="72">
        <f>IF(H21="-","-",K21*H21)</f>
        <v>8069770.280000001</v>
      </c>
      <c r="M21" s="73">
        <f>IF($H21="-","-",(($K21/(-0.8+1)*((1/(1-$H21))^(-0.8+1)-1))))</f>
        <v>14502877.705906361</v>
      </c>
      <c r="N21" s="73">
        <f>IF($H21="-","-",(($K21/(-1.2+1)*((1/(1-$H21))^(-1.2+1)-1))))</f>
        <v>11756222.41099177</v>
      </c>
      <c r="O21" s="57"/>
    </row>
    <row r="22" spans="1:15" ht="16.5">
      <c r="A22" s="47" t="s">
        <v>92</v>
      </c>
      <c r="B22" s="47" t="s">
        <v>93</v>
      </c>
      <c r="C22" s="48" t="s">
        <v>94</v>
      </c>
      <c r="D22" s="49" t="s">
        <v>34</v>
      </c>
      <c r="E22" s="50" t="s">
        <v>79</v>
      </c>
      <c r="F22" s="51">
        <f>IF(E22="No aumenta",0,IF(E22="Pequeña",0,IF(E22="Moderada",0.1,IF(E22="Grande",0.4,IF(E22="Esencial",0.9,"-")))))</f>
        <v>0.1</v>
      </c>
      <c r="G22" s="51">
        <f>IF(E22="No aumenta",0,IF(E22="Pequeña",0.1,IF(E22="Moderada",0.4,IF(E22="Grande",0.9,IF(E22="Esencial",1,"-")))))</f>
        <v>0.4</v>
      </c>
      <c r="H22" s="51">
        <f>IF(F22="-","-",AVERAGE(F22:G22))</f>
        <v>0.25</v>
      </c>
      <c r="I22" s="157">
        <v>1532.8</v>
      </c>
      <c r="J22" s="158"/>
      <c r="K22" s="54">
        <f>IF(J22="-",0,I22*J22)</f>
        <v>0</v>
      </c>
      <c r="L22" s="55">
        <f>IF(H22="-","-",K22*H22)</f>
        <v>0</v>
      </c>
      <c r="M22" s="56">
        <f>IF($H22="-","-",(($K22/(-0.8+1)*((1/(1-$H22))^(-0.8+1)-1))))</f>
        <v>0</v>
      </c>
      <c r="N22" s="56">
        <f>IF($H22="-","-",(($K22/(-1.2+1)*((1/(1-$H22))^(-1.2+1)-1))))</f>
        <v>0</v>
      </c>
      <c r="O22" s="57"/>
    </row>
    <row r="23" spans="1:15" ht="16.5">
      <c r="A23" s="134" t="s">
        <v>95</v>
      </c>
      <c r="B23" s="134" t="s">
        <v>96</v>
      </c>
      <c r="C23" s="135" t="s">
        <v>97</v>
      </c>
      <c r="D23" s="95" t="s">
        <v>50</v>
      </c>
      <c r="E23" s="136" t="s">
        <v>68</v>
      </c>
      <c r="F23" s="137">
        <v>0</v>
      </c>
      <c r="G23" s="137">
        <v>0</v>
      </c>
      <c r="H23" s="137">
        <v>0</v>
      </c>
      <c r="I23" s="138">
        <v>652.7</v>
      </c>
      <c r="J23" s="139">
        <v>107</v>
      </c>
      <c r="K23" s="140">
        <f>IF(J23="-",0,I23*J23)</f>
        <v>69838.90000000001</v>
      </c>
      <c r="L23" s="141">
        <f>IF(H23="-","-",K23*H23)</f>
        <v>0</v>
      </c>
      <c r="M23" s="142">
        <f>IF($H23="-","-",(($K23/(-0.8+1)*((1/(1-$H23))^(-0.8+1)-1))))</f>
        <v>0</v>
      </c>
      <c r="N23" s="142">
        <f>IF($H23="-","-",(($K23/(-1.2+1)*((1/(1-$H23))^(-1.2+1)-1))))</f>
        <v>0</v>
      </c>
      <c r="O23" s="57"/>
    </row>
    <row r="24" spans="1:15" ht="29.25">
      <c r="A24" s="85" t="s">
        <v>101</v>
      </c>
      <c r="B24" s="85" t="s">
        <v>102</v>
      </c>
      <c r="C24" s="86" t="s">
        <v>100</v>
      </c>
      <c r="D24" s="87" t="s">
        <v>48</v>
      </c>
      <c r="E24" s="88" t="s">
        <v>72</v>
      </c>
      <c r="F24" s="89">
        <v>0</v>
      </c>
      <c r="G24" s="89">
        <v>0.1</v>
      </c>
      <c r="H24" s="89">
        <v>0.05</v>
      </c>
      <c r="I24" s="90">
        <v>708.5</v>
      </c>
      <c r="J24" s="91">
        <f>9213+75</f>
        <v>9288</v>
      </c>
      <c r="K24" s="92">
        <f>IF(J24="-",0,I24*J24)</f>
        <v>6580548</v>
      </c>
      <c r="L24" s="93">
        <f>IF(H24="-","-",K24*H24)</f>
        <v>329027.4</v>
      </c>
      <c r="M24" s="94">
        <f>IF($H24="-","-",(($K24/(-0.8+1)*((1/(1-$H24))^(-0.8+1)-1))))</f>
        <v>339275.26495862857</v>
      </c>
      <c r="N24" s="94">
        <f>IF($H24="-","-",(($K24/(-1.2+1)*((1/(1-$H24))^(-1.2+1)-1))))</f>
        <v>335812.5475362559</v>
      </c>
      <c r="O24" s="57"/>
    </row>
    <row r="25" spans="1:15" ht="29.25">
      <c r="A25" s="85" t="s">
        <v>103</v>
      </c>
      <c r="B25" s="85" t="s">
        <v>104</v>
      </c>
      <c r="C25" s="86" t="s">
        <v>105</v>
      </c>
      <c r="D25" s="87" t="s">
        <v>48</v>
      </c>
      <c r="E25" s="88" t="s">
        <v>35</v>
      </c>
      <c r="F25" s="89">
        <v>0.4</v>
      </c>
      <c r="G25" s="89">
        <v>0.9</v>
      </c>
      <c r="H25" s="89">
        <v>0.65</v>
      </c>
      <c r="I25" s="90">
        <v>371.5</v>
      </c>
      <c r="J25" s="91">
        <f>5412+37</f>
        <v>5449</v>
      </c>
      <c r="K25" s="92">
        <f>IF(J25="-",0,I25*J25)</f>
        <v>2024303.5</v>
      </c>
      <c r="L25" s="93">
        <f>IF(H25="-","-",K25*H25)</f>
        <v>1315797.2750000001</v>
      </c>
      <c r="M25" s="94">
        <f>IF($H25="-","-",(($K25/(-0.8+1)*((1/(1-$H25))^(-0.8+1)-1))))</f>
        <v>2364732.365726009</v>
      </c>
      <c r="N25" s="94">
        <f>IF($H25="-","-",(($K25/(-1.2+1)*((1/(1-$H25))^(-1.2+1)-1))))</f>
        <v>1916882.9936850318</v>
      </c>
      <c r="O25" s="57"/>
    </row>
    <row r="26" spans="1:15" ht="29.25">
      <c r="A26" s="85" t="s">
        <v>106</v>
      </c>
      <c r="B26" s="85" t="s">
        <v>107</v>
      </c>
      <c r="C26" s="86" t="s">
        <v>108</v>
      </c>
      <c r="D26" s="87" t="s">
        <v>48</v>
      </c>
      <c r="E26" s="88" t="s">
        <v>79</v>
      </c>
      <c r="F26" s="89">
        <v>0.1</v>
      </c>
      <c r="G26" s="89">
        <v>0.4</v>
      </c>
      <c r="H26" s="89">
        <v>0.25</v>
      </c>
      <c r="I26" s="90">
        <v>524.4</v>
      </c>
      <c r="J26" s="91">
        <v>8800</v>
      </c>
      <c r="K26" s="92">
        <f>IF(J26="-",0,I26*J26)</f>
        <v>4614720</v>
      </c>
      <c r="L26" s="93">
        <f>IF(H26="-","-",K26*H26)</f>
        <v>1153680</v>
      </c>
      <c r="M26" s="94">
        <f>IF($H26="-","-",(($K26/(-0.8+1)*((1/(1-$H26))^(-0.8+1)-1))))</f>
        <v>1366507.2188238727</v>
      </c>
      <c r="N26" s="94">
        <f>IF($H26="-","-",(($K26/(-1.2+1)*((1/(1-$H26))^(-1.2+1)-1))))</f>
        <v>1290102.3993859498</v>
      </c>
      <c r="O26" s="57"/>
    </row>
    <row r="27" spans="1:15" ht="16.5">
      <c r="A27" s="64" t="s">
        <v>109</v>
      </c>
      <c r="B27" s="64" t="s">
        <v>110</v>
      </c>
      <c r="C27" s="65" t="s">
        <v>111</v>
      </c>
      <c r="D27" s="66" t="s">
        <v>40</v>
      </c>
      <c r="E27" s="67" t="s">
        <v>79</v>
      </c>
      <c r="F27" s="68">
        <f>IF(E27="No aumenta",0,IF(E27="Pequeña",0,IF(E27="Moderada",0.1,IF(E27="Grande",0.4,IF(E27="Esencial",0.9,"-")))))</f>
        <v>0.1</v>
      </c>
      <c r="G27" s="68">
        <f>IF(E27="No aumenta",0,IF(E27="Pequeña",0.1,IF(E27="Moderada",0.4,IF(E27="Grande",0.9,IF(E27="Esencial",1,"-")))))</f>
        <v>0.4</v>
      </c>
      <c r="H27" s="68">
        <f>IF(F27="-","-",AVERAGE(F27:G27))</f>
        <v>0.25</v>
      </c>
      <c r="I27" s="69">
        <v>1167.4</v>
      </c>
      <c r="J27" s="70">
        <v>2006</v>
      </c>
      <c r="K27" s="71">
        <f>IF(J27="-",0,I27*J27)</f>
        <v>2341804.4000000004</v>
      </c>
      <c r="L27" s="72">
        <f>IF(H27="-","-",K27*H27)</f>
        <v>585451.1000000001</v>
      </c>
      <c r="M27" s="73">
        <f>IF($H27="-","-",(($K27/(-0.8+1)*((1/(1-$H27))^(-0.8+1)-1))))</f>
        <v>693453.257765045</v>
      </c>
      <c r="N27" s="73">
        <f>IF($H27="-","-",(($K27/(-1.2+1)*((1/(1-$H27))^(-1.2+1)-1))))</f>
        <v>654680.5603227444</v>
      </c>
      <c r="O27" s="57"/>
    </row>
    <row r="28" spans="1:15" ht="42.75">
      <c r="A28" s="85" t="s">
        <v>112</v>
      </c>
      <c r="B28" s="85" t="s">
        <v>113</v>
      </c>
      <c r="C28" s="86" t="s">
        <v>114</v>
      </c>
      <c r="D28" s="87" t="s">
        <v>48</v>
      </c>
      <c r="E28" s="88" t="s">
        <v>62</v>
      </c>
      <c r="F28" s="89" t="s">
        <v>63</v>
      </c>
      <c r="G28" s="89" t="s">
        <v>63</v>
      </c>
      <c r="H28" s="89" t="s">
        <v>63</v>
      </c>
      <c r="I28" s="90">
        <v>1879.1</v>
      </c>
      <c r="J28" s="91">
        <v>1262</v>
      </c>
      <c r="K28" s="92">
        <f>IF(J28="-",0,I28*J28)</f>
        <v>2371424.1999999997</v>
      </c>
      <c r="L28" s="93" t="str">
        <f>IF(H28="-","-",K28*H28)</f>
        <v>-</v>
      </c>
      <c r="M28" s="94" t="str">
        <f>IF($H28="-","-",(($K28/(-0.8+1)*((1/(1-$H28))^(-0.8+1)-1))))</f>
        <v>-</v>
      </c>
      <c r="N28" s="94" t="str">
        <f>IF($H28="-","-",(($K28/(-1.2+1)*((1/(1-$H28))^(-1.2+1)-1))))</f>
        <v>-</v>
      </c>
      <c r="O28" s="57"/>
    </row>
    <row r="29" spans="1:15" ht="29.25">
      <c r="A29" s="64" t="s">
        <v>115</v>
      </c>
      <c r="B29" s="64" t="s">
        <v>116</v>
      </c>
      <c r="C29" s="65" t="s">
        <v>117</v>
      </c>
      <c r="D29" s="66" t="s">
        <v>40</v>
      </c>
      <c r="E29" s="67" t="s">
        <v>72</v>
      </c>
      <c r="F29" s="68">
        <f>IF(E29="No aumenta",0,IF(E29="Pequeña",0,IF(E29="Moderada",0.1,IF(E29="Grande",0.4,IF(E29="Esencial",0.9,"-")))))</f>
        <v>0</v>
      </c>
      <c r="G29" s="68">
        <f>IF(E29="No aumenta",0,IF(E29="Pequeña",0.1,IF(E29="Moderada",0.4,IF(E29="Grande",0.9,IF(E29="Esencial",1,"-")))))</f>
        <v>0.1</v>
      </c>
      <c r="H29" s="68">
        <f>IF(F29="-","-",AVERAGE(F29:G29))</f>
        <v>0.05</v>
      </c>
      <c r="I29" s="69">
        <v>149</v>
      </c>
      <c r="J29" s="70">
        <v>2</v>
      </c>
      <c r="K29" s="71">
        <f>IF(J29="-",0,I29*J29)</f>
        <v>298</v>
      </c>
      <c r="L29" s="72">
        <f>IF(H29="-","-",K29*H29)</f>
        <v>14.9</v>
      </c>
      <c r="M29" s="73">
        <f>IF($H29="-","-",(($K29/(-0.8+1)*((1/(1-$H29))^(-0.8+1)-1))))</f>
        <v>15.364074383724775</v>
      </c>
      <c r="N29" s="73">
        <f>IF($H29="-","-",(($K29/(-1.2+1)*((1/(1-$H29))^(-1.2+1)-1))))</f>
        <v>15.207265286387129</v>
      </c>
      <c r="O29" s="57"/>
    </row>
    <row r="30" spans="1:15" ht="16.5">
      <c r="A30" s="64" t="s">
        <v>118</v>
      </c>
      <c r="B30" s="64" t="s">
        <v>119</v>
      </c>
      <c r="C30" s="65" t="s">
        <v>120</v>
      </c>
      <c r="D30" s="66" t="s">
        <v>40</v>
      </c>
      <c r="E30" s="67" t="s">
        <v>68</v>
      </c>
      <c r="F30" s="68">
        <f>IF(E30="No aumenta",0,IF(E30="Pequeña",0,IF(E30="Moderada",0.1,IF(E30="Grande",0.4,IF(E30="Esencial",0.9,"-")))))</f>
        <v>0</v>
      </c>
      <c r="G30" s="68">
        <f>IF(E30="No aumenta",0,IF(E30="Pequeña",0.1,IF(E30="Moderada",0.4,IF(E30="Grande",0.9,IF(E30="Esencial",1,"-")))))</f>
        <v>0</v>
      </c>
      <c r="H30" s="68">
        <f>IF(F30="-","-",AVERAGE(F30:G30))</f>
        <v>0</v>
      </c>
      <c r="I30" s="69">
        <v>601</v>
      </c>
      <c r="J30" s="70">
        <f>451065+138</f>
        <v>451203</v>
      </c>
      <c r="K30" s="71">
        <f>IF(J30="-",0,I30*J30)</f>
        <v>271173003</v>
      </c>
      <c r="L30" s="72">
        <f>IF(H30="-","-",K30*H30)</f>
        <v>0</v>
      </c>
      <c r="M30" s="73">
        <f>IF($H30="-","-",(($K30/(-0.8+1)*((1/(1-$H30))^(-0.8+1)-1))))</f>
        <v>0</v>
      </c>
      <c r="N30" s="73">
        <f>IF($H30="-","-",(($K30/(-1.2+1)*((1/(1-$H30))^(-1.2+1)-1))))</f>
        <v>0</v>
      </c>
      <c r="O30" s="57"/>
    </row>
    <row r="31" spans="1:15" ht="29.25">
      <c r="A31" s="47" t="s">
        <v>121</v>
      </c>
      <c r="B31" s="47" t="s">
        <v>122</v>
      </c>
      <c r="C31" s="48" t="s">
        <v>123</v>
      </c>
      <c r="D31" s="49" t="s">
        <v>34</v>
      </c>
      <c r="E31" s="50" t="s">
        <v>68</v>
      </c>
      <c r="F31" s="51">
        <f>IF(E31="No aumenta",0,IF(E31="Pequeña",0,IF(E31="Moderada",0.1,IF(E31="Grande",0.4,IF(E31="Esencial",0.9,"-")))))</f>
        <v>0</v>
      </c>
      <c r="G31" s="51">
        <f>IF(E31="No aumenta",0,IF(E31="Pequeña",0.1,IF(E31="Moderada",0.4,IF(E31="Grande",0.9,IF(E31="Esencial",1,"-")))))</f>
        <v>0</v>
      </c>
      <c r="H31" s="51">
        <f>IF(F31="-","-",AVERAGE(F31:G31))</f>
        <v>0</v>
      </c>
      <c r="I31" s="157">
        <v>1668.3</v>
      </c>
      <c r="J31" s="158">
        <v>16833</v>
      </c>
      <c r="K31" s="54">
        <f>IF(J31="-",0,I31*J31)</f>
        <v>28082493.9</v>
      </c>
      <c r="L31" s="55">
        <f>IF(H31="-","-",K31*H31)</f>
        <v>0</v>
      </c>
      <c r="M31" s="56">
        <f>IF($H31="-","-",(($K31/(-0.8+1)*((1/(1-$H31))^(-0.8+1)-1))))</f>
        <v>0</v>
      </c>
      <c r="N31" s="56">
        <f>IF($H31="-","-",(($K31/(-1.2+1)*((1/(1-$H31))^(-1.2+1)-1))))</f>
        <v>0</v>
      </c>
      <c r="O31" s="57"/>
    </row>
    <row r="32" spans="1:15" ht="16.5">
      <c r="A32" s="64" t="s">
        <v>127</v>
      </c>
      <c r="B32" s="64" t="s">
        <v>128</v>
      </c>
      <c r="C32" s="65" t="s">
        <v>129</v>
      </c>
      <c r="D32" s="171" t="s">
        <v>40</v>
      </c>
      <c r="E32" s="67" t="s">
        <v>130</v>
      </c>
      <c r="F32" s="68">
        <f>IF(E32="No aumenta",0,IF(E32="Pequeña",0,IF(E32="Moderada",0.1,IF(E32="Grande",0.4,IF(E32="Esencial",0.9,"-")))))</f>
        <v>0.9</v>
      </c>
      <c r="G32" s="68">
        <f>IF(E32="No aumenta",0,IF(E32="Pequeña",0.1,IF(E32="Moderada",0.4,IF(E32="Grande",0.9,IF(E32="Esencial",1,"-")))))</f>
        <v>1</v>
      </c>
      <c r="H32" s="68">
        <f>IF(F32="-","-",AVERAGE(F32:G32))</f>
        <v>0.95</v>
      </c>
      <c r="I32" s="69">
        <v>706</v>
      </c>
      <c r="J32" s="70">
        <v>216</v>
      </c>
      <c r="K32" s="71">
        <f>IF(J32="-",0,I32*J32)</f>
        <v>152496</v>
      </c>
      <c r="L32" s="72">
        <f>IF(H32="-","-",K32*H32)</f>
        <v>144871.19999999998</v>
      </c>
      <c r="M32" s="73">
        <f>IF($H32="-","-",(($K32/(-0.8+1)*((1/(1-$H32))^(-0.8+1)-1))))</f>
        <v>625663.7935233255</v>
      </c>
      <c r="N32" s="73">
        <f>IF($H32="-","-",(($K32/(-1.2+1)*((1/(1-$H32))^(-1.2+1)-1))))</f>
        <v>343664.7784699756</v>
      </c>
      <c r="O32" s="57"/>
    </row>
    <row r="33" spans="1:15" ht="29.25">
      <c r="A33" s="64" t="s">
        <v>131</v>
      </c>
      <c r="B33" s="64" t="s">
        <v>132</v>
      </c>
      <c r="C33" s="65" t="s">
        <v>133</v>
      </c>
      <c r="D33" s="66" t="s">
        <v>40</v>
      </c>
      <c r="E33" s="67" t="s">
        <v>72</v>
      </c>
      <c r="F33" s="68">
        <v>0</v>
      </c>
      <c r="G33" s="68">
        <v>0.1</v>
      </c>
      <c r="H33" s="68">
        <v>0.05</v>
      </c>
      <c r="I33" s="69">
        <v>164.4</v>
      </c>
      <c r="J33" s="70">
        <v>794</v>
      </c>
      <c r="K33" s="71">
        <f>IF(J33="-",0,I33*J33)</f>
        <v>130533.6</v>
      </c>
      <c r="L33" s="72">
        <f>IF(H33="-","-",K33*H33)</f>
        <v>6526.68</v>
      </c>
      <c r="M33" s="73">
        <f>IF($H33="-","-",(($K33/(-0.8+1)*((1/(1-$H33))^(-0.8+1)-1))))</f>
        <v>6729.959530118713</v>
      </c>
      <c r="N33" s="73">
        <f>IF($H33="-","-",(($K33/(-1.2+1)*((1/(1-$H33))^(-1.2+1)-1))))</f>
        <v>6661.272093916587</v>
      </c>
      <c r="O33" s="57"/>
    </row>
    <row r="34" spans="1:15" ht="16.5">
      <c r="A34" s="134" t="s">
        <v>134</v>
      </c>
      <c r="B34" s="134" t="s">
        <v>135</v>
      </c>
      <c r="C34" s="135" t="s">
        <v>136</v>
      </c>
      <c r="D34" s="95" t="s">
        <v>50</v>
      </c>
      <c r="E34" s="136" t="s">
        <v>68</v>
      </c>
      <c r="F34" s="137">
        <v>0</v>
      </c>
      <c r="G34" s="137">
        <v>0</v>
      </c>
      <c r="H34" s="137">
        <v>0</v>
      </c>
      <c r="I34" s="138">
        <v>761.9</v>
      </c>
      <c r="J34" s="139">
        <v>48</v>
      </c>
      <c r="K34" s="140">
        <f>IF(J34="-",0,I34*J34)</f>
        <v>36571.2</v>
      </c>
      <c r="L34" s="141">
        <f>IF(H34="-","-",K34*H34)</f>
        <v>0</v>
      </c>
      <c r="M34" s="142">
        <f>IF($H34="-","-",(($K34/(-0.8+1)*((1/(1-$H34))^(-0.8+1)-1))))</f>
        <v>0</v>
      </c>
      <c r="N34" s="142">
        <f>IF($H34="-","-",(($K34/(-1.2+1)*((1/(1-$H34))^(-1.2+1)-1))))</f>
        <v>0</v>
      </c>
      <c r="O34" s="57"/>
    </row>
    <row r="35" spans="1:15" ht="42.75">
      <c r="A35" s="85" t="s">
        <v>137</v>
      </c>
      <c r="B35" s="85" t="s">
        <v>138</v>
      </c>
      <c r="C35" s="86" t="s">
        <v>139</v>
      </c>
      <c r="D35" s="87" t="s">
        <v>48</v>
      </c>
      <c r="E35" s="88" t="s">
        <v>49</v>
      </c>
      <c r="F35" s="89" t="str">
        <f>IF(E35="No aumenta",0,IF(E35="Pequeña",0,IF(E35="Moderada",0.1,IF(E35="Grande",0.4,IF(E35="Esencial",0.9,"-")))))</f>
        <v>-</v>
      </c>
      <c r="G35" s="89" t="str">
        <f>IF(E35="No aumenta",0,IF(E35="Pequeña",0.1,IF(E35="Moderada",0.4,IF(E35="Grande",0.9,IF(E35="Esencial",1,"-")))))</f>
        <v>-</v>
      </c>
      <c r="H35" s="89" t="str">
        <f>IF(F35="-","-",AVERAGE(F35:G35))</f>
        <v>-</v>
      </c>
      <c r="I35" s="90">
        <v>300</v>
      </c>
      <c r="J35" s="91">
        <v>24213</v>
      </c>
      <c r="K35" s="92">
        <f>IF(J35="-",0,I35*J35)</f>
        <v>7263900</v>
      </c>
      <c r="L35" s="93" t="str">
        <f>IF(H35="-","-",K35*H35)</f>
        <v>-</v>
      </c>
      <c r="M35" s="94" t="str">
        <f>IF($H35="-","-",(($K35/(-0.8+1)*((1/(1-$H35))^(-0.8+1)-1))))</f>
        <v>-</v>
      </c>
      <c r="N35" s="94" t="str">
        <f>IF($H35="-","-",(($K35/(-1.2+1)*((1/(1-$H35))^(-1.2+1)-1))))</f>
        <v>-</v>
      </c>
      <c r="O35" s="57"/>
    </row>
    <row r="36" spans="1:15" ht="16.5">
      <c r="A36" s="134" t="s">
        <v>140</v>
      </c>
      <c r="B36" s="134" t="s">
        <v>141</v>
      </c>
      <c r="C36" s="172" t="s">
        <v>142</v>
      </c>
      <c r="D36" s="173" t="s">
        <v>50</v>
      </c>
      <c r="E36" s="137" t="s">
        <v>68</v>
      </c>
      <c r="F36" s="137">
        <v>0</v>
      </c>
      <c r="G36" s="137">
        <v>0</v>
      </c>
      <c r="H36" s="137">
        <v>0</v>
      </c>
      <c r="I36" s="138">
        <v>238.5</v>
      </c>
      <c r="J36" s="139">
        <v>16</v>
      </c>
      <c r="K36" s="140">
        <f>IF(J36="-",0,I36*J36)</f>
        <v>3816</v>
      </c>
      <c r="L36" s="141">
        <f>IF(H36="-","-",K36*H36)</f>
        <v>0</v>
      </c>
      <c r="M36" s="142">
        <f>IF($H36="-","-",(($K36/(-0.8+1)*((1/(1-$H36))^(-0.8+1)-1))))</f>
        <v>0</v>
      </c>
      <c r="N36" s="142">
        <f>IF($H36="-","-",(($K36/(-1.2+1)*((1/(1-$H36))^(-1.2+1)-1))))</f>
        <v>0</v>
      </c>
      <c r="O36" s="57"/>
    </row>
    <row r="37" spans="1:15" ht="16.5">
      <c r="A37" s="119" t="s">
        <v>143</v>
      </c>
      <c r="B37" s="119" t="s">
        <v>144</v>
      </c>
      <c r="C37" s="120" t="s">
        <v>145</v>
      </c>
      <c r="D37" s="121" t="s">
        <v>36</v>
      </c>
      <c r="E37" s="122" t="s">
        <v>68</v>
      </c>
      <c r="F37" s="123">
        <v>0</v>
      </c>
      <c r="G37" s="123">
        <v>0</v>
      </c>
      <c r="H37" s="123">
        <v>0</v>
      </c>
      <c r="I37" s="124">
        <v>216.9</v>
      </c>
      <c r="J37" s="125">
        <v>370387</v>
      </c>
      <c r="K37" s="126">
        <f>IF(J37="-",0,I37*J37)</f>
        <v>80336940.3</v>
      </c>
      <c r="L37" s="127">
        <f>IF(H37="-","-",K37*H37)</f>
        <v>0</v>
      </c>
      <c r="M37" s="128">
        <f>IF($H37="-","-",(($K37/(-0.8+1)*((1/(1-$H37))^(-0.8+1)-1))))</f>
        <v>0</v>
      </c>
      <c r="N37" s="128">
        <f>IF($H37="-","-",(($K37/(-1.2+1)*((1/(1-$H37))^(-1.2+1)-1))))</f>
        <v>0</v>
      </c>
      <c r="O37" s="57"/>
    </row>
    <row r="38" spans="1:15" ht="16.5">
      <c r="A38" s="119" t="s">
        <v>149</v>
      </c>
      <c r="B38" s="119" t="s">
        <v>150</v>
      </c>
      <c r="C38" s="120" t="s">
        <v>151</v>
      </c>
      <c r="D38" s="121" t="s">
        <v>36</v>
      </c>
      <c r="E38" s="122" t="s">
        <v>68</v>
      </c>
      <c r="F38" s="123">
        <v>0</v>
      </c>
      <c r="G38" s="123">
        <v>0</v>
      </c>
      <c r="H38" s="123">
        <v>0</v>
      </c>
      <c r="I38" s="124">
        <v>181.5</v>
      </c>
      <c r="J38" s="125">
        <v>37330</v>
      </c>
      <c r="K38" s="126">
        <f>IF(J38="-",0,I38*J38)</f>
        <v>6775395</v>
      </c>
      <c r="L38" s="127">
        <f>IF(H38="-","-",K38*H38)</f>
        <v>0</v>
      </c>
      <c r="M38" s="128">
        <f>IF($H38="-","-",(($K38/(-0.8+1)*((1/(1-$H38))^(-0.8+1)-1))))</f>
        <v>0</v>
      </c>
      <c r="N38" s="128">
        <f>IF($H38="-","-",(($K38/(-1.2+1)*((1/(1-$H38))^(-1.2+1)-1))))</f>
        <v>0</v>
      </c>
      <c r="O38" s="57"/>
    </row>
    <row r="39" spans="1:15" ht="16.5">
      <c r="A39" s="174" t="s">
        <v>152</v>
      </c>
      <c r="B39" s="174" t="s">
        <v>153</v>
      </c>
      <c r="C39" s="175" t="s">
        <v>154</v>
      </c>
      <c r="D39" s="79" t="s">
        <v>44</v>
      </c>
      <c r="E39" s="176" t="s">
        <v>68</v>
      </c>
      <c r="F39" s="177">
        <f>IF(E39="No aumenta",0,IF(E39="Pequeña",0,IF(E39="Moderada",0.1,IF(E39="Grande",0.4,IF(E39="Esencial",0.9,"-")))))</f>
        <v>0</v>
      </c>
      <c r="G39" s="177">
        <f>IF(E39="No aumenta",0,IF(E39="Pequeña",0.1,IF(E39="Moderada",0.4,IF(E39="Grande",0.9,IF(E39="Esencial",1,"-")))))</f>
        <v>0</v>
      </c>
      <c r="H39" s="177">
        <f>IF(F39="-","-",AVERAGE(F39:G39))</f>
        <v>0</v>
      </c>
      <c r="I39" s="178">
        <v>396.6</v>
      </c>
      <c r="J39" s="179">
        <f>9+107124</f>
        <v>107133</v>
      </c>
      <c r="K39" s="180">
        <f>IF(J39="-",0,I39*J39)</f>
        <v>42488947.800000004</v>
      </c>
      <c r="L39" s="181">
        <f>IF(H39="-","-",K39*H39)</f>
        <v>0</v>
      </c>
      <c r="M39" s="182">
        <f>IF($H39="-","-",(($K39/(-0.8+1)*((1/(1-$H39))^(-0.8+1)-1))))</f>
        <v>0</v>
      </c>
      <c r="N39" s="182">
        <f>IF($H39="-","-",(($K39/(-1.2+1)*((1/(1-$H39))^(-1.2+1)-1))))</f>
        <v>0</v>
      </c>
      <c r="O39" s="57"/>
    </row>
    <row r="40" spans="1:15" ht="42.75">
      <c r="A40" s="85" t="s">
        <v>155</v>
      </c>
      <c r="B40" s="85" t="s">
        <v>156</v>
      </c>
      <c r="C40" s="86" t="s">
        <v>157</v>
      </c>
      <c r="D40" s="87" t="s">
        <v>48</v>
      </c>
      <c r="E40" s="88" t="s">
        <v>49</v>
      </c>
      <c r="F40" s="89" t="s">
        <v>63</v>
      </c>
      <c r="G40" s="89" t="s">
        <v>63</v>
      </c>
      <c r="H40" s="89" t="s">
        <v>63</v>
      </c>
      <c r="I40" s="90">
        <v>677.7</v>
      </c>
      <c r="J40" s="91">
        <v>1062</v>
      </c>
      <c r="K40" s="92">
        <f>IF(J40="-",0,I40*J40)</f>
        <v>719717.4</v>
      </c>
      <c r="L40" s="93" t="str">
        <f>IF(H40="-","-",K40*H40)</f>
        <v>-</v>
      </c>
      <c r="M40" s="94" t="str">
        <f>IF($H40="-","-",(($K40/(-0.8+1)*((1/(1-$H40))^(-0.8+1)-1))))</f>
        <v>-</v>
      </c>
      <c r="N40" s="94" t="str">
        <f>IF($H40="-","-",(($K40/(-1.2+1)*((1/(1-$H40))^(-1.2+1)-1))))</f>
        <v>-</v>
      </c>
      <c r="O40" s="57"/>
    </row>
    <row r="41" spans="1:15" ht="42.75">
      <c r="A41" s="85" t="s">
        <v>158</v>
      </c>
      <c r="B41" s="85" t="s">
        <v>159</v>
      </c>
      <c r="C41" s="86" t="s">
        <v>157</v>
      </c>
      <c r="D41" s="87" t="s">
        <v>48</v>
      </c>
      <c r="E41" s="88" t="s">
        <v>49</v>
      </c>
      <c r="F41" s="89" t="s">
        <v>63</v>
      </c>
      <c r="G41" s="89" t="s">
        <v>63</v>
      </c>
      <c r="H41" s="89" t="s">
        <v>63</v>
      </c>
      <c r="I41" s="90">
        <v>174.9</v>
      </c>
      <c r="J41" s="91">
        <v>31359</v>
      </c>
      <c r="K41" s="92">
        <f>IF(J41="-",0,I41*J41)</f>
        <v>5484689.100000001</v>
      </c>
      <c r="L41" s="93" t="str">
        <f>IF(H41="-","-",K41*H41)</f>
        <v>-</v>
      </c>
      <c r="M41" s="94" t="str">
        <f>IF($H41="-","-",(($K41/(-0.8+1)*((1/(1-$H41))^(-0.8+1)-1))))</f>
        <v>-</v>
      </c>
      <c r="N41" s="94" t="str">
        <f>IF($H41="-","-",(($K41/(-1.2+1)*((1/(1-$H41))^(-1.2+1)-1))))</f>
        <v>-</v>
      </c>
      <c r="O41" s="57"/>
    </row>
    <row r="42" spans="1:15" ht="16.5">
      <c r="A42" s="64" t="s">
        <v>160</v>
      </c>
      <c r="B42" s="64" t="s">
        <v>161</v>
      </c>
      <c r="C42" s="65" t="s">
        <v>162</v>
      </c>
      <c r="D42" s="66" t="s">
        <v>40</v>
      </c>
      <c r="E42" s="67" t="s">
        <v>72</v>
      </c>
      <c r="F42" s="68">
        <v>0</v>
      </c>
      <c r="G42" s="68">
        <v>0.1</v>
      </c>
      <c r="H42" s="68">
        <v>0.05</v>
      </c>
      <c r="I42" s="69">
        <v>198.6</v>
      </c>
      <c r="J42" s="70">
        <v>35259</v>
      </c>
      <c r="K42" s="71">
        <f>IF(J42="-",0,I42*J42)</f>
        <v>7002437.399999999</v>
      </c>
      <c r="L42" s="72">
        <f>IF(H42="-","-",K42*H42)</f>
        <v>350121.87</v>
      </c>
      <c r="M42" s="73">
        <f>IF($H42="-","-",(($K42/(-0.8+1)*((1/(1-$H42))^(-0.8+1)-1))))</f>
        <v>361026.7418824709</v>
      </c>
      <c r="N42" s="73">
        <f>IF($H42="-","-",(($K42/(-1.2+1)*((1/(1-$H42))^(-1.2+1)-1))))</f>
        <v>357342.02413798304</v>
      </c>
      <c r="O42" s="57"/>
    </row>
    <row r="43" spans="1:15" ht="56.25">
      <c r="A43" s="85" t="s">
        <v>163</v>
      </c>
      <c r="B43" s="85" t="s">
        <v>164</v>
      </c>
      <c r="C43" s="86" t="s">
        <v>165</v>
      </c>
      <c r="D43" s="87" t="s">
        <v>48</v>
      </c>
      <c r="E43" s="88" t="s">
        <v>130</v>
      </c>
      <c r="F43" s="89">
        <f>IF(E43="No aumenta",0,IF(E43="Pequeña",0,IF(E43="Moderada",0.1,IF(E43="Grande",0.4,IF(E43="Esencial",0.9,"-")))))</f>
        <v>0.9</v>
      </c>
      <c r="G43" s="89">
        <f>IF(E43="No aumenta",0,IF(E43="Pequeña",0.1,IF(E43="Moderada",0.4,IF(E43="Grande",0.9,IF(E43="Esencial",1,"-")))))</f>
        <v>1</v>
      </c>
      <c r="H43" s="89">
        <f>IF(F43="-","-",AVERAGE(F43:G43))</f>
        <v>0.95</v>
      </c>
      <c r="I43" s="90">
        <v>259.9</v>
      </c>
      <c r="J43" s="91">
        <v>6277</v>
      </c>
      <c r="K43" s="92">
        <f>IF(J43="-",0,I43*J43)</f>
        <v>1631392.2999999998</v>
      </c>
      <c r="L43" s="93">
        <f>IF(H43="-","-",K43*H43)</f>
        <v>1549822.6849999998</v>
      </c>
      <c r="M43" s="94">
        <f>IF($H43="-","-",(($K43/(-0.8+1)*((1/(1-$H43))^(-0.8+1)-1))))</f>
        <v>6693310.612361917</v>
      </c>
      <c r="N43" s="94">
        <f>IF($H43="-","-",(($K43/(-1.2+1)*((1/(1-$H43))^(-1.2+1)-1))))</f>
        <v>3676503.4714164566</v>
      </c>
      <c r="O43" s="57"/>
    </row>
    <row r="44" spans="1:15" ht="42.75">
      <c r="A44" s="64" t="s">
        <v>166</v>
      </c>
      <c r="B44" s="64" t="s">
        <v>167</v>
      </c>
      <c r="C44" s="65" t="s">
        <v>168</v>
      </c>
      <c r="D44" s="66" t="s">
        <v>40</v>
      </c>
      <c r="E44" s="67" t="s">
        <v>35</v>
      </c>
      <c r="F44" s="68">
        <v>0.4</v>
      </c>
      <c r="G44" s="68">
        <v>0.9</v>
      </c>
      <c r="H44" s="68">
        <v>0.65</v>
      </c>
      <c r="I44" s="69">
        <v>532.1</v>
      </c>
      <c r="J44" s="70">
        <f>221832+175899</f>
        <v>397731</v>
      </c>
      <c r="K44" s="71">
        <f>IF(J44="-",0,I44*J44)</f>
        <v>211632665.10000002</v>
      </c>
      <c r="L44" s="72">
        <f>IF(H44="-","-",K44*H44)</f>
        <v>137561232.31500003</v>
      </c>
      <c r="M44" s="73">
        <f>IF($H44="-","-",(($K44/(-0.8+1)*((1/(1-$H44))^(-0.8+1)-1))))</f>
        <v>247223112.9407341</v>
      </c>
      <c r="N44" s="73">
        <f>IF($H44="-","-",(($K44/(-1.2+1)*((1/(1-$H44))^(-1.2+1)-1))))</f>
        <v>200402289.79420814</v>
      </c>
      <c r="O44" s="57"/>
    </row>
    <row r="45" spans="1:15" ht="16.5">
      <c r="A45" s="64" t="s">
        <v>169</v>
      </c>
      <c r="B45" s="64" t="s">
        <v>170</v>
      </c>
      <c r="C45" s="65" t="s">
        <v>171</v>
      </c>
      <c r="D45" s="66" t="s">
        <v>40</v>
      </c>
      <c r="E45" s="67" t="s">
        <v>35</v>
      </c>
      <c r="F45" s="68">
        <v>0.4</v>
      </c>
      <c r="G45" s="68">
        <v>0.9</v>
      </c>
      <c r="H45" s="68">
        <v>0.65</v>
      </c>
      <c r="I45" s="69">
        <v>427.4</v>
      </c>
      <c r="J45" s="70">
        <v>262650</v>
      </c>
      <c r="K45" s="71">
        <f>IF(J45="-",0,I45*J45)</f>
        <v>112256610</v>
      </c>
      <c r="L45" s="72">
        <f>IF(H45="-","-",K45*H45)</f>
        <v>72966796.5</v>
      </c>
      <c r="M45" s="73">
        <f>IF($H45="-","-",(($K45/(-0.8+1)*((1/(1-$H45))^(-0.8+1)-1))))</f>
        <v>131134900.93441126</v>
      </c>
      <c r="N45" s="73">
        <f>IF($H45="-","-",(($K45/(-1.2+1)*((1/(1-$H45))^(-1.2+1)-1))))</f>
        <v>106299666.34831837</v>
      </c>
      <c r="O45" s="57"/>
    </row>
    <row r="46" spans="1:15" ht="29.25">
      <c r="A46" s="134" t="s">
        <v>172</v>
      </c>
      <c r="B46" s="134" t="s">
        <v>173</v>
      </c>
      <c r="C46" s="135" t="s">
        <v>174</v>
      </c>
      <c r="D46" s="95" t="s">
        <v>50</v>
      </c>
      <c r="E46" s="136" t="s">
        <v>68</v>
      </c>
      <c r="F46" s="137">
        <f>IF(E46="No aumenta",0,IF(E46="Pequeña",0,IF(E46="Moderada",0.1,IF(E46="Grande",0.4,IF(E46="Esencial",0.9,"-")))))</f>
        <v>0</v>
      </c>
      <c r="G46" s="137">
        <f>IF(E46="No aumenta",0,IF(E46="Pequeña",0.1,IF(E46="Moderada",0.4,IF(E46="Grande",0.9,IF(E46="Esencial",1,"-")))))</f>
        <v>0</v>
      </c>
      <c r="H46" s="137">
        <f>IF(F46="-","-",AVERAGE(F46:G46))</f>
        <v>0</v>
      </c>
      <c r="I46" s="138">
        <v>223.6</v>
      </c>
      <c r="J46" s="139">
        <v>1392</v>
      </c>
      <c r="K46" s="140">
        <f>IF(J46="-",0,I46*J46)</f>
        <v>311251.2</v>
      </c>
      <c r="L46" s="141">
        <f>IF(H46="-","-",K46*H46)</f>
        <v>0</v>
      </c>
      <c r="M46" s="142">
        <f>IF($H46="-","-",(($K46/(-0.8+1)*((1/(1-$H46))^(-0.8+1)-1))))</f>
        <v>0</v>
      </c>
      <c r="N46" s="142">
        <f>IF($H46="-","-",(($K46/(-1.2+1)*((1/(1-$H46))^(-1.2+1)-1))))</f>
        <v>0</v>
      </c>
      <c r="O46" s="57"/>
    </row>
    <row r="47" spans="1:15" ht="29.25">
      <c r="A47" s="85" t="s">
        <v>175</v>
      </c>
      <c r="B47" s="85" t="s">
        <v>176</v>
      </c>
      <c r="C47" s="86" t="s">
        <v>174</v>
      </c>
      <c r="D47" s="87" t="s">
        <v>48</v>
      </c>
      <c r="E47" s="88" t="s">
        <v>68</v>
      </c>
      <c r="F47" s="89">
        <f>IF(E47="No aumenta",0,IF(E47="Pequeña",0,IF(E47="Moderada",0.1,IF(E47="Grande",0.4,IF(E47="Esencial",0.9,"-")))))</f>
        <v>0</v>
      </c>
      <c r="G47" s="89">
        <f>IF(E47="No aumenta",0,IF(E47="Pequeña",0.1,IF(E47="Moderada",0.4,IF(E47="Grande",0.9,IF(E47="Esencial",1,"-")))))</f>
        <v>0</v>
      </c>
      <c r="H47" s="89">
        <f>IF(F47="-","-",AVERAGE(F47:G47))</f>
        <v>0</v>
      </c>
      <c r="I47" s="90">
        <v>1847.6</v>
      </c>
      <c r="J47" s="91">
        <v>1410</v>
      </c>
      <c r="K47" s="92">
        <f>IF(J47="-",0,I47*J47)</f>
        <v>2605116</v>
      </c>
      <c r="L47" s="93">
        <f>IF(H47="-","-",K47*H47)</f>
        <v>0</v>
      </c>
      <c r="M47" s="94">
        <f>IF($H47="-","-",(($K47/(-0.8+1)*((1/(1-$H47))^(-0.8+1)-1))))</f>
        <v>0</v>
      </c>
      <c r="N47" s="94">
        <f>IF($H47="-","-",(($K47/(-1.2+1)*((1/(1-$H47))^(-1.2+1)-1))))</f>
        <v>0</v>
      </c>
      <c r="O47" s="57"/>
    </row>
    <row r="48" spans="1:15" ht="29.25">
      <c r="A48" s="64" t="s">
        <v>177</v>
      </c>
      <c r="B48" s="64" t="s">
        <v>178</v>
      </c>
      <c r="C48" s="65" t="s">
        <v>179</v>
      </c>
      <c r="D48" s="66" t="s">
        <v>40</v>
      </c>
      <c r="E48" s="67" t="s">
        <v>35</v>
      </c>
      <c r="F48" s="68">
        <v>0.4</v>
      </c>
      <c r="G48" s="68">
        <v>0.9</v>
      </c>
      <c r="H48" s="68">
        <v>0.65</v>
      </c>
      <c r="I48" s="69">
        <v>471.3</v>
      </c>
      <c r="J48" s="70">
        <v>5367</v>
      </c>
      <c r="K48" s="71">
        <f>IF(J48="-",0,I48*J48)</f>
        <v>2529467.1</v>
      </c>
      <c r="L48" s="72">
        <f>IF(H48="-","-",K48*H48)</f>
        <v>1644153.6150000002</v>
      </c>
      <c r="M48" s="73">
        <f>IF($H48="-","-",(($K48/(-0.8+1)*((1/(1-$H48))^(-0.8+1)-1))))</f>
        <v>2954849.7640838483</v>
      </c>
      <c r="N48" s="73">
        <f>IF($H48="-","-",(($K48/(-1.2+1)*((1/(1-$H48))^(-1.2+1)-1))))</f>
        <v>2395239.8773582107</v>
      </c>
      <c r="O48" s="57"/>
    </row>
    <row r="49" spans="1:15" ht="42.75">
      <c r="A49" s="183" t="s">
        <v>180</v>
      </c>
      <c r="B49" s="183" t="s">
        <v>181</v>
      </c>
      <c r="C49" s="184" t="s">
        <v>182</v>
      </c>
      <c r="D49" s="101" t="s">
        <v>54</v>
      </c>
      <c r="E49" s="185" t="s">
        <v>62</v>
      </c>
      <c r="F49" s="186" t="s">
        <v>63</v>
      </c>
      <c r="G49" s="186" t="s">
        <v>63</v>
      </c>
      <c r="H49" s="186" t="s">
        <v>63</v>
      </c>
      <c r="I49" s="187">
        <v>212.7</v>
      </c>
      <c r="J49" s="188">
        <v>31606</v>
      </c>
      <c r="K49" s="189">
        <f>IF(J49="-",0,I49*J49)</f>
        <v>6722596.199999999</v>
      </c>
      <c r="L49" s="190" t="str">
        <f>IF(H49="-","-",K49*H49)</f>
        <v>-</v>
      </c>
      <c r="M49" s="191" t="str">
        <f>IF($H49="-","-",(($K49/(-0.8+1)*((1/(1-$H49))^(-0.8+1)-1))))</f>
        <v>-</v>
      </c>
      <c r="N49" s="191" t="str">
        <f>IF($H49="-","-",(($K49/(-1.2+1)*((1/(1-$H49))^(-1.2+1)-1))))</f>
        <v>-</v>
      </c>
      <c r="O49" s="57"/>
    </row>
    <row r="50" spans="1:15" ht="56.25">
      <c r="A50" s="85" t="s">
        <v>183</v>
      </c>
      <c r="B50" s="85" t="s">
        <v>184</v>
      </c>
      <c r="C50" s="86" t="s">
        <v>185</v>
      </c>
      <c r="D50" s="87" t="s">
        <v>48</v>
      </c>
      <c r="E50" s="88" t="s">
        <v>130</v>
      </c>
      <c r="F50" s="89">
        <f>IF(E50="No aumenta",0,IF(E50="Pequeña",0,IF(E50="Moderada",0.1,IF(E50="Grande",0.4,IF(E50="Esencial",0.9,"-")))))</f>
        <v>0.9</v>
      </c>
      <c r="G50" s="89">
        <f>IF(E50="No aumenta",0,IF(E50="Pequeña",0.1,IF(E50="Moderada",0.4,IF(E50="Grande",0.9,IF(E50="Esencial",1,"-")))))</f>
        <v>1</v>
      </c>
      <c r="H50" s="89">
        <f>IF(F50="-","-",AVERAGE(F50:G50))</f>
        <v>0.95</v>
      </c>
      <c r="I50" s="90">
        <v>333.5</v>
      </c>
      <c r="J50" s="91">
        <f>1229+9212</f>
        <v>10441</v>
      </c>
      <c r="K50" s="92">
        <f>IF(J50="-",0,I50*J50)</f>
        <v>3482073.5</v>
      </c>
      <c r="L50" s="93">
        <f>IF(H50="-","-",K50*H50)</f>
        <v>3307969.8249999997</v>
      </c>
      <c r="M50" s="94">
        <f>IF($H50="-","-",(($K50/(-0.8+1)*((1/(1-$H50))^(-0.8+1)-1))))</f>
        <v>14286324.332028665</v>
      </c>
      <c r="N50" s="94">
        <f>IF($H50="-","-",(($K50/(-1.2+1)*((1/(1-$H50))^(-1.2+1)-1))))</f>
        <v>7847196.110020411</v>
      </c>
      <c r="O50" s="57"/>
    </row>
    <row r="51" spans="1:15" ht="16.5">
      <c r="A51" s="64" t="s">
        <v>186</v>
      </c>
      <c r="B51" s="64" t="s">
        <v>187</v>
      </c>
      <c r="C51" s="192" t="s">
        <v>188</v>
      </c>
      <c r="D51" s="66" t="s">
        <v>40</v>
      </c>
      <c r="E51" s="67" t="s">
        <v>35</v>
      </c>
      <c r="F51" s="68">
        <v>0.4</v>
      </c>
      <c r="G51" s="68">
        <v>0.9</v>
      </c>
      <c r="H51" s="68">
        <v>0.65</v>
      </c>
      <c r="I51" s="69">
        <v>316.1</v>
      </c>
      <c r="J51" s="70">
        <v>932</v>
      </c>
      <c r="K51" s="71">
        <f>IF(J51="-",0,I51*J51)</f>
        <v>294605.2</v>
      </c>
      <c r="L51" s="72">
        <f>IF(H51="-","-",K51*H51)</f>
        <v>191493.38</v>
      </c>
      <c r="M51" s="73">
        <f>IF($H51="-","-",(($K51/(-0.8+1)*((1/(1-$H51))^(-0.8+1)-1))))</f>
        <v>344149.2106056153</v>
      </c>
      <c r="N51" s="73">
        <f>IF($H51="-","-",(($K51/(-1.2+1)*((1/(1-$H51))^(-1.2+1)-1))))</f>
        <v>278971.85265508736</v>
      </c>
      <c r="O51" s="57"/>
    </row>
    <row r="52" spans="1:15" ht="16.5">
      <c r="A52" s="174" t="s">
        <v>189</v>
      </c>
      <c r="B52" s="174" t="s">
        <v>190</v>
      </c>
      <c r="C52" s="193" t="s">
        <v>191</v>
      </c>
      <c r="D52" s="79" t="s">
        <v>44</v>
      </c>
      <c r="E52" s="176" t="s">
        <v>79</v>
      </c>
      <c r="F52" s="177">
        <f>IF(E52="No aumenta",0,IF(E52="Pequeña",0,IF(E52="Moderada",0.1,IF(E52="Grande",0.4,IF(E52="Esencial",0.9,"-")))))</f>
        <v>0.1</v>
      </c>
      <c r="G52" s="177">
        <f>IF(E52="No aumenta",0,IF(E52="Pequeña",0.1,IF(E52="Moderada",0.4,IF(E52="Grande",0.9,IF(E52="Esencial",1,"-")))))</f>
        <v>0.4</v>
      </c>
      <c r="H52" s="177">
        <f>IF(F52="-","-",AVERAGE(F52:G52))</f>
        <v>0.25</v>
      </c>
      <c r="I52" s="178">
        <v>283.3</v>
      </c>
      <c r="J52" s="179">
        <v>19001</v>
      </c>
      <c r="K52" s="180">
        <f>IF(J52="-",0,I52*J52)</f>
        <v>5382983.3</v>
      </c>
      <c r="L52" s="181">
        <f>IF(H52="-","-",K52*H52)</f>
        <v>1345745.825</v>
      </c>
      <c r="M52" s="182">
        <f>IF($H52="-","-",(($K52/(-0.8+1)*((1/(1-$H52))^(-0.8+1)-1))))</f>
        <v>1594004.7366380524</v>
      </c>
      <c r="N52" s="182">
        <f>IF($H52="-","-",(($K52/(-1.2+1)*((1/(1-$H52))^(-1.2+1)-1))))</f>
        <v>1504879.9648049064</v>
      </c>
      <c r="O52" s="57"/>
    </row>
    <row r="53" spans="1:15" ht="16.5">
      <c r="A53" s="119" t="s">
        <v>195</v>
      </c>
      <c r="B53" s="119" t="s">
        <v>196</v>
      </c>
      <c r="C53" s="120" t="s">
        <v>197</v>
      </c>
      <c r="D53" s="121" t="s">
        <v>36</v>
      </c>
      <c r="E53" s="194" t="s">
        <v>68</v>
      </c>
      <c r="F53" s="123">
        <v>0</v>
      </c>
      <c r="G53" s="123">
        <v>0</v>
      </c>
      <c r="H53" s="123">
        <v>0</v>
      </c>
      <c r="I53" s="124">
        <v>276.1</v>
      </c>
      <c r="J53" s="125">
        <v>122814</v>
      </c>
      <c r="K53" s="126">
        <f>IF(J53="-",0,I53*J53)</f>
        <v>33908945.400000006</v>
      </c>
      <c r="L53" s="127">
        <f>IF(H53="-","-",K53*H53)</f>
        <v>0</v>
      </c>
      <c r="M53" s="128">
        <f>IF($H53="-","-",(($K53/(-0.8+1)*((1/(1-$H53))^(-0.8+1)-1))))</f>
        <v>0</v>
      </c>
      <c r="N53" s="128">
        <f>IF($H53="-","-",(($K53/(-1.2+1)*((1/(1-$H53))^(-1.2+1)-1))))</f>
        <v>0</v>
      </c>
      <c r="O53" s="57"/>
    </row>
    <row r="54" spans="1:15" ht="16.5">
      <c r="A54" s="119" t="s">
        <v>198</v>
      </c>
      <c r="B54" s="119" t="s">
        <v>199</v>
      </c>
      <c r="C54" s="120" t="s">
        <v>200</v>
      </c>
      <c r="D54" s="121" t="s">
        <v>36</v>
      </c>
      <c r="E54" s="122" t="s">
        <v>68</v>
      </c>
      <c r="F54" s="123">
        <f>IF(E54="No aumenta",0,IF(E54="Pequeña",0,IF(E54="Moderada",0.1,IF(E54="Grande",0.4,IF(E54="Esencial",0.9,"-")))))</f>
        <v>0</v>
      </c>
      <c r="G54" s="123">
        <f>IF(E54="No aumenta",0,IF(E54="Pequeña",0.1,IF(E54="Moderada",0.4,IF(E54="Grande",0.9,IF(E54="Esencial",1,"-")))))</f>
        <v>0</v>
      </c>
      <c r="H54" s="123">
        <f>IF(F54="-","-",AVERAGE(F54:G54))</f>
        <v>0</v>
      </c>
      <c r="I54" s="124">
        <v>183.6</v>
      </c>
      <c r="J54" s="125">
        <v>1354</v>
      </c>
      <c r="K54" s="126">
        <f>IF(J54="-",0,I54*J54)</f>
        <v>248594.4</v>
      </c>
      <c r="L54" s="127">
        <f>IF(H54="-","-",K54*H54)</f>
        <v>0</v>
      </c>
      <c r="M54" s="128">
        <f>IF($H54="-","-",(($K54/(-0.8+1)*((1/(1-$H54))^(-0.8+1)-1))))</f>
        <v>0</v>
      </c>
      <c r="N54" s="128">
        <f>IF($H54="-","-",(($K54/(-1.2+1)*((1/(1-$H54))^(-1.2+1)-1))))</f>
        <v>0</v>
      </c>
      <c r="O54" s="57"/>
    </row>
    <row r="55" spans="1:15" ht="16.5">
      <c r="A55" s="119" t="s">
        <v>207</v>
      </c>
      <c r="B55" s="119" t="s">
        <v>208</v>
      </c>
      <c r="C55" s="120" t="s">
        <v>209</v>
      </c>
      <c r="D55" s="121" t="s">
        <v>36</v>
      </c>
      <c r="E55" s="122" t="s">
        <v>68</v>
      </c>
      <c r="F55" s="123">
        <v>0</v>
      </c>
      <c r="G55" s="123">
        <v>0</v>
      </c>
      <c r="H55" s="123">
        <v>0</v>
      </c>
      <c r="I55" s="124">
        <v>200</v>
      </c>
      <c r="J55" s="125">
        <v>20141</v>
      </c>
      <c r="K55" s="126">
        <f>IF(J55="-",0,I55*J55)</f>
        <v>4028200</v>
      </c>
      <c r="L55" s="127">
        <f>IF(H55="-","-",K55*H55)</f>
        <v>0</v>
      </c>
      <c r="M55" s="128">
        <f>IF($H55="-","-",(($K55/(-0.8+1)*((1/(1-$H55))^(-0.8+1)-1))))</f>
        <v>0</v>
      </c>
      <c r="N55" s="128">
        <f>IF($H55="-","-",(($K55/(-1.2+1)*((1/(1-$H55))^(-1.2+1)-1))))</f>
        <v>0</v>
      </c>
      <c r="O55" s="57"/>
    </row>
    <row r="56" spans="1:15" ht="16.5">
      <c r="A56" s="174" t="s">
        <v>210</v>
      </c>
      <c r="B56" s="174" t="s">
        <v>211</v>
      </c>
      <c r="C56" s="175" t="s">
        <v>212</v>
      </c>
      <c r="D56" s="79" t="s">
        <v>44</v>
      </c>
      <c r="E56" s="176" t="s">
        <v>79</v>
      </c>
      <c r="F56" s="177">
        <v>0.1</v>
      </c>
      <c r="G56" s="177">
        <v>0.4</v>
      </c>
      <c r="H56" s="177">
        <v>0.25</v>
      </c>
      <c r="I56" s="178">
        <v>336.1</v>
      </c>
      <c r="J56" s="179">
        <v>15</v>
      </c>
      <c r="K56" s="180">
        <f>IF(J56="-",0,I56*J56)</f>
        <v>5041.5</v>
      </c>
      <c r="L56" s="181">
        <f>IF(H56="-","-",K56*H56)</f>
        <v>1260.375</v>
      </c>
      <c r="M56" s="182">
        <f>IF($H56="-","-",(($K56/(-0.8+1)*((1/(1-$H56))^(-0.8+1)-1))))</f>
        <v>1492.8849732379333</v>
      </c>
      <c r="N56" s="182">
        <f>IF($H56="-","-",(($K56/(-1.2+1)*((1/(1-$H56))^(-1.2+1)-1))))</f>
        <v>1409.4140590337588</v>
      </c>
      <c r="O56" s="57"/>
    </row>
    <row r="57" spans="1:15" ht="16.5">
      <c r="A57" s="85" t="s">
        <v>213</v>
      </c>
      <c r="B57" s="85" t="s">
        <v>214</v>
      </c>
      <c r="C57" s="86" t="s">
        <v>215</v>
      </c>
      <c r="D57" s="87" t="s">
        <v>48</v>
      </c>
      <c r="E57" s="88" t="s">
        <v>68</v>
      </c>
      <c r="F57" s="89">
        <v>0</v>
      </c>
      <c r="G57" s="89">
        <v>0</v>
      </c>
      <c r="H57" s="89">
        <v>0</v>
      </c>
      <c r="I57" s="90">
        <v>508.7</v>
      </c>
      <c r="J57" s="91">
        <v>3445</v>
      </c>
      <c r="K57" s="92">
        <f>IF(J57="-",0,I57*J57)</f>
        <v>1752471.5</v>
      </c>
      <c r="L57" s="93">
        <f>IF(H57="-","-",K57*H57)</f>
        <v>0</v>
      </c>
      <c r="M57" s="94">
        <f>IF($H57="-","-",(($K57/(-0.8+1)*((1/(1-$H57))^(-0.8+1)-1))))</f>
        <v>0</v>
      </c>
      <c r="N57" s="94">
        <f>IF($H57="-","-",(($K57/(-1.2+1)*((1/(1-$H57))^(-1.2+1)-1))))</f>
        <v>0</v>
      </c>
      <c r="O57" s="57"/>
    </row>
    <row r="58" spans="1:15" ht="16.5">
      <c r="A58" s="64" t="s">
        <v>216</v>
      </c>
      <c r="B58" s="64" t="s">
        <v>217</v>
      </c>
      <c r="C58" s="65" t="s">
        <v>218</v>
      </c>
      <c r="D58" s="66" t="s">
        <v>40</v>
      </c>
      <c r="E58" s="67" t="s">
        <v>79</v>
      </c>
      <c r="F58" s="68">
        <f>IF(E58="No aumenta",0,IF(E58="Pequeña",0,IF(E58="Moderada",0.1,IF(E58="Grande",0.4,IF(E58="Esencial",0.9,"-")))))</f>
        <v>0.1</v>
      </c>
      <c r="G58" s="68">
        <f>IF(E58="No aumenta",0,IF(E58="Pequeña",0.1,IF(E58="Moderada",0.4,IF(E58="Grande",0.9,IF(E58="Esencial",1,"-")))))</f>
        <v>0.4</v>
      </c>
      <c r="H58" s="68">
        <f>IF(F58="-","-",AVERAGE(F58:G58))</f>
        <v>0.25</v>
      </c>
      <c r="I58" s="69">
        <v>1310.8</v>
      </c>
      <c r="J58" s="70">
        <v>2006</v>
      </c>
      <c r="K58" s="71">
        <f>IF(J58="-",0,I58*J58)</f>
        <v>2629464.8</v>
      </c>
      <c r="L58" s="72">
        <f>IF(H58="-","-",K58*H58)</f>
        <v>657366.2</v>
      </c>
      <c r="M58" s="73">
        <f>IF($H58="-","-",(($K58/(-0.8+1)*((1/(1-$H58))^(-0.8+1)-1))))</f>
        <v>778635.0267932336</v>
      </c>
      <c r="N58" s="73">
        <f>IF($H58="-","-",(($K58/(-1.2+1)*((1/(1-$H58))^(-1.2+1)-1))))</f>
        <v>735099.6046522642</v>
      </c>
      <c r="O58" s="57"/>
    </row>
    <row r="59" spans="1:15" ht="29.25">
      <c r="A59" s="174" t="s">
        <v>222</v>
      </c>
      <c r="B59" s="174" t="s">
        <v>223</v>
      </c>
      <c r="C59" s="175" t="s">
        <v>224</v>
      </c>
      <c r="D59" s="79" t="s">
        <v>44</v>
      </c>
      <c r="E59" s="176" t="s">
        <v>79</v>
      </c>
      <c r="F59" s="177">
        <v>0.1</v>
      </c>
      <c r="G59" s="177">
        <v>0.4</v>
      </c>
      <c r="H59" s="177">
        <v>0.25</v>
      </c>
      <c r="I59" s="178">
        <v>380.1</v>
      </c>
      <c r="J59" s="179">
        <v>5763</v>
      </c>
      <c r="K59" s="180">
        <f>IF(J59="-",0,I59*J59)</f>
        <v>2190516.3000000003</v>
      </c>
      <c r="L59" s="181">
        <f>IF(H59="-","-",K59*H59)</f>
        <v>547629.0750000001</v>
      </c>
      <c r="M59" s="182">
        <f>IF($H59="-","-",(($K59/(-0.8+1)*((1/(1-$H59))^(-0.8+1)-1))))</f>
        <v>648653.9458301611</v>
      </c>
      <c r="N59" s="182">
        <f>IF($H59="-","-",(($K59/(-1.2+1)*((1/(1-$H59))^(-1.2+1)-1))))</f>
        <v>612386.0894104157</v>
      </c>
      <c r="O59" s="57"/>
    </row>
    <row r="60" spans="1:15" ht="42.75">
      <c r="A60" s="183" t="s">
        <v>225</v>
      </c>
      <c r="B60" s="183" t="s">
        <v>226</v>
      </c>
      <c r="C60" s="184" t="s">
        <v>227</v>
      </c>
      <c r="D60" s="101" t="s">
        <v>54</v>
      </c>
      <c r="E60" s="185" t="s">
        <v>62</v>
      </c>
      <c r="F60" s="186" t="s">
        <v>63</v>
      </c>
      <c r="G60" s="186" t="s">
        <v>63</v>
      </c>
      <c r="H60" s="186" t="s">
        <v>63</v>
      </c>
      <c r="I60" s="187">
        <v>491.4</v>
      </c>
      <c r="J60" s="188">
        <v>10</v>
      </c>
      <c r="K60" s="189">
        <f>IF(J60="-",0,I60*J60)</f>
        <v>4914</v>
      </c>
      <c r="L60" s="190" t="str">
        <f>IF(H60="-","-",K60*H60)</f>
        <v>-</v>
      </c>
      <c r="M60" s="191" t="str">
        <f>IF($H60="-","-",(($K60/(-0.8+1)*((1/(1-$H60))^(-0.8+1)-1))))</f>
        <v>-</v>
      </c>
      <c r="N60" s="191" t="str">
        <f>IF($H60="-","-",(($K60/(-1.2+1)*((1/(1-$H60))^(-1.2+1)-1))))</f>
        <v>-</v>
      </c>
      <c r="O60" s="57"/>
    </row>
    <row r="61" spans="1:15" ht="96">
      <c r="A61" s="64" t="s">
        <v>228</v>
      </c>
      <c r="B61" s="64" t="s">
        <v>229</v>
      </c>
      <c r="C61" s="65" t="s">
        <v>230</v>
      </c>
      <c r="D61" s="66" t="s">
        <v>40</v>
      </c>
      <c r="E61" s="67" t="s">
        <v>72</v>
      </c>
      <c r="F61" s="68">
        <v>0</v>
      </c>
      <c r="G61" s="68">
        <v>0.1</v>
      </c>
      <c r="H61" s="68">
        <v>0.05</v>
      </c>
      <c r="I61" s="69">
        <v>240.6</v>
      </c>
      <c r="J61" s="70">
        <f>5916+133112+8921</f>
        <v>147949</v>
      </c>
      <c r="K61" s="71">
        <f>IF(J61="-",0,I61*J61)</f>
        <v>35596529.4</v>
      </c>
      <c r="L61" s="72">
        <f>IF(H61="-","-",K61*H61)</f>
        <v>1779826.47</v>
      </c>
      <c r="M61" s="73">
        <f>IF($H61="-","-",(($K61/(-0.8+1)*((1/(1-$H61))^(-0.8+1)-1))))</f>
        <v>1835260.82383908</v>
      </c>
      <c r="N61" s="73">
        <f>IF($H61="-","-",(($K61/(-1.2+1)*((1/(1-$H61))^(-1.2+1)-1))))</f>
        <v>1816529.7512096607</v>
      </c>
      <c r="O61" s="57"/>
    </row>
    <row r="62" spans="1:15" ht="16.5">
      <c r="A62" s="85" t="s">
        <v>231</v>
      </c>
      <c r="B62" s="85" t="s">
        <v>232</v>
      </c>
      <c r="C62" s="86" t="s">
        <v>233</v>
      </c>
      <c r="D62" s="87" t="s">
        <v>48</v>
      </c>
      <c r="E62" s="88" t="s">
        <v>72</v>
      </c>
      <c r="F62" s="89">
        <v>0</v>
      </c>
      <c r="G62" s="89">
        <v>0.1</v>
      </c>
      <c r="H62" s="89">
        <v>0.05</v>
      </c>
      <c r="I62" s="90">
        <v>440.6</v>
      </c>
      <c r="J62" s="91">
        <v>54200</v>
      </c>
      <c r="K62" s="92">
        <f>IF(J62="-",0,I62*J62)</f>
        <v>23880520</v>
      </c>
      <c r="L62" s="93">
        <f>IF(H62="-","-",K62*H62)</f>
        <v>1194026</v>
      </c>
      <c r="M62" s="94">
        <f>IF($H62="-","-",(($K62/(-0.8+1)*((1/(1-$H62))^(-0.8+1)-1))))</f>
        <v>1231215.052355796</v>
      </c>
      <c r="N62" s="94">
        <f>IF($H62="-","-",(($K62/(-1.2+1)*((1/(1-$H62))^(-1.2+1)-1))))</f>
        <v>1218649.0027411866</v>
      </c>
      <c r="O62" s="57"/>
    </row>
    <row r="63" spans="1:15" ht="29.25">
      <c r="A63" s="47" t="s">
        <v>234</v>
      </c>
      <c r="B63" s="47" t="s">
        <v>235</v>
      </c>
      <c r="C63" s="48" t="s">
        <v>236</v>
      </c>
      <c r="D63" s="49" t="s">
        <v>34</v>
      </c>
      <c r="E63" s="50" t="s">
        <v>68</v>
      </c>
      <c r="F63" s="51" t="s">
        <v>63</v>
      </c>
      <c r="G63" s="51" t="s">
        <v>63</v>
      </c>
      <c r="H63" s="51" t="s">
        <v>63</v>
      </c>
      <c r="I63" s="157">
        <v>2087.7</v>
      </c>
      <c r="J63" s="158">
        <v>2129</v>
      </c>
      <c r="K63" s="54">
        <f>IF(J63="-",0,I63*J63)</f>
        <v>4444713.3</v>
      </c>
      <c r="L63" s="55" t="str">
        <f>IF(H63="-","-",K63*H63)</f>
        <v>-</v>
      </c>
      <c r="M63" s="56" t="str">
        <f>IF($H63="-","-",(($K63/(-0.8+1)*((1/(1-$H63))^(-0.8+1)-1))))</f>
        <v>-</v>
      </c>
      <c r="N63" s="56" t="str">
        <f>IF($H63="-","-",(($K63/(-1.2+1)*((1/(1-$H63))^(-1.2+1)-1))))</f>
        <v>-</v>
      </c>
      <c r="O63" s="57"/>
    </row>
    <row r="64" spans="1:15" ht="16.5">
      <c r="A64" s="85" t="s">
        <v>237</v>
      </c>
      <c r="B64" s="85" t="s">
        <v>238</v>
      </c>
      <c r="C64" s="86" t="s">
        <v>239</v>
      </c>
      <c r="D64" s="87" t="s">
        <v>48</v>
      </c>
      <c r="E64" s="88" t="s">
        <v>130</v>
      </c>
      <c r="F64" s="89">
        <v>0.9</v>
      </c>
      <c r="G64" s="89">
        <v>1</v>
      </c>
      <c r="H64" s="89">
        <v>0.95</v>
      </c>
      <c r="I64" s="90">
        <v>243.3</v>
      </c>
      <c r="J64" s="91">
        <v>7015</v>
      </c>
      <c r="K64" s="92">
        <f>IF(J64="-",0,I64*J64)</f>
        <v>1706749.5</v>
      </c>
      <c r="L64" s="93">
        <f>IF(H64="-","-",K64*H64)</f>
        <v>1621412.025</v>
      </c>
      <c r="M64" s="94">
        <f>IF($H64="-","-",(($K64/(-0.8+1)*((1/(1-$H64))^(-0.8+1)-1))))</f>
        <v>7002487.716163303</v>
      </c>
      <c r="N64" s="94">
        <f>IF($H64="-","-",(($K64/(-1.2+1)*((1/(1-$H64))^(-1.2+1)-1))))</f>
        <v>3846328.3549813875</v>
      </c>
      <c r="O64" s="57"/>
    </row>
    <row r="65" spans="1:15" ht="29.25">
      <c r="A65" s="119" t="s">
        <v>240</v>
      </c>
      <c r="B65" s="119" t="s">
        <v>241</v>
      </c>
      <c r="C65" s="120" t="s">
        <v>242</v>
      </c>
      <c r="D65" s="121" t="s">
        <v>36</v>
      </c>
      <c r="E65" s="122" t="s">
        <v>68</v>
      </c>
      <c r="F65" s="123">
        <v>0</v>
      </c>
      <c r="G65" s="123">
        <v>0</v>
      </c>
      <c r="H65" s="123">
        <v>0</v>
      </c>
      <c r="I65" s="124">
        <v>230.1</v>
      </c>
      <c r="J65" s="125">
        <v>400589</v>
      </c>
      <c r="K65" s="126">
        <f>IF(J65="-",0,I65*J65)</f>
        <v>92175528.89999999</v>
      </c>
      <c r="L65" s="127">
        <f>IF(H65="-","-",K65*H65)</f>
        <v>0</v>
      </c>
      <c r="M65" s="128">
        <f>IF($H65="-","-",(($K65/(-0.8+1)*((1/(1-$H65))^(-0.8+1)-1))))</f>
        <v>0</v>
      </c>
      <c r="N65" s="128">
        <f>IF($H65="-","-",(($K65/(-1.2+1)*((1/(1-$H65))^(-1.2+1)-1))))</f>
        <v>0</v>
      </c>
      <c r="O65" s="57"/>
    </row>
    <row r="66" spans="1:14" ht="16.5">
      <c r="A66" s="2"/>
      <c r="I66" s="205"/>
      <c r="J66" s="206"/>
      <c r="K66" s="207"/>
      <c r="L66" s="208"/>
      <c r="M66" s="209"/>
      <c r="N66" s="209"/>
    </row>
    <row r="67" spans="1:14" ht="30" customHeight="1">
      <c r="A67" s="210" t="s">
        <v>243</v>
      </c>
      <c r="B67" s="210" t="s">
        <v>248</v>
      </c>
      <c r="C67" s="210"/>
      <c r="D67" s="210"/>
      <c r="E67" s="210"/>
      <c r="F67" s="211">
        <f>AVERAGE(F9:F65)</f>
        <v>0.17777777777777778</v>
      </c>
      <c r="G67" s="211">
        <f>AVERAGE(G9:G65)</f>
        <v>0.3577777777777778</v>
      </c>
      <c r="H67" s="211">
        <f>AVERAGE(H9:H65)</f>
        <v>0.26777777777777784</v>
      </c>
      <c r="I67" s="212">
        <f>AVERAGE(I9:I65)</f>
        <v>611.3631578947368</v>
      </c>
      <c r="J67" s="213">
        <f>AVERAGE(J9:J65)</f>
        <v>63230.42857142857</v>
      </c>
      <c r="K67" s="214">
        <f>SUM(K9:K65)</f>
        <v>1290533007.6000001</v>
      </c>
      <c r="L67" s="215">
        <f>SUM(L9:L65)</f>
        <v>321388498.47</v>
      </c>
      <c r="M67" s="216">
        <f>SUM(M9:M65)</f>
        <v>588294938.1516857</v>
      </c>
      <c r="N67" s="216">
        <f>SUM(N9:N65)</f>
        <v>470895765.79238766</v>
      </c>
    </row>
  </sheetData>
  <sheetProtection selectLockedCells="1" selectUnlockedCells="1"/>
  <mergeCells count="10">
    <mergeCell ref="A2:N2"/>
    <mergeCell ref="A3:N3"/>
    <mergeCell ref="P3:V3"/>
    <mergeCell ref="F4:H4"/>
    <mergeCell ref="I4:N4"/>
    <mergeCell ref="M5:N5"/>
    <mergeCell ref="U5:V5"/>
    <mergeCell ref="B6:D6"/>
    <mergeCell ref="E6:H6"/>
    <mergeCell ref="A67:E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Gallai</dc:creator>
  <cp:keywords/>
  <dc:description/>
  <cp:lastModifiedBy>luis </cp:lastModifiedBy>
  <cp:lastPrinted>2009-03-30T13:59:48Z</cp:lastPrinted>
  <dcterms:created xsi:type="dcterms:W3CDTF">2009-03-22T06:40:39Z</dcterms:created>
  <dcterms:modified xsi:type="dcterms:W3CDTF">2014-05-04T21:16:06Z</dcterms:modified>
  <cp:category/>
  <cp:version/>
  <cp:contentType/>
  <cp:contentStatus/>
  <cp:revision>613</cp:revision>
</cp:coreProperties>
</file>